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80" tabRatio="614" activeTab="0"/>
  </bookViews>
  <sheets>
    <sheet name="Raw Height Data" sheetId="1" r:id="rId1"/>
    <sheet name="Project" sheetId="2" r:id="rId2"/>
    <sheet name="Gmm" sheetId="3" r:id="rId3"/>
    <sheet name="Gmb" sheetId="4" r:id="rId4"/>
    <sheet name="%AC" sheetId="5" r:id="rId5"/>
    <sheet name="Dust Proportion" sheetId="6" r:id="rId6"/>
    <sheet name="Densification Report" sheetId="7" r:id="rId7"/>
    <sheet name="Summary Report" sheetId="8" r:id="rId8"/>
    <sheet name="G1 Report" sheetId="9" state="hidden" r:id="rId9"/>
    <sheet name="Varying %AC Report" sheetId="10" r:id="rId10"/>
    <sheet name="%AC Optimizer" sheetId="11" r:id="rId11"/>
    <sheet name="Mixture Report" sheetId="12" r:id="rId12"/>
    <sheet name="Individuals Report" sheetId="13" r:id="rId13"/>
    <sheet name="Specs" sheetId="14" state="hidden" r:id="rId14"/>
    <sheet name="Calculations" sheetId="15" state="hidden" r:id="rId15"/>
    <sheet name="Settings" sheetId="16" state="hidden" r:id="rId16"/>
    <sheet name="InfoBox1" sheetId="17" state="hidden" r:id="rId17"/>
    <sheet name="Chart Setup" sheetId="18" state="hidden" r:id="rId18"/>
    <sheet name="Pictures" sheetId="19" state="hidden" r:id="rId19"/>
  </sheets>
  <definedNames>
    <definedName name="ACChartMax">'Calculations'!$C$37</definedName>
    <definedName name="ACChartMin">'Calculations'!$C$36</definedName>
    <definedName name="AirVoids1">'Calculations'!$C$16</definedName>
    <definedName name="AirVoids2">'Calculations'!$F$16</definedName>
    <definedName name="AirVoids3">'Calculations'!$I$16</definedName>
    <definedName name="AirVoids4">'Calculations'!$L$16</definedName>
    <definedName name="AirVoidsAtNmax1">'Calculations'!$C$24</definedName>
    <definedName name="AirVoidsAtNmax2">'Calculations'!$F$24</definedName>
    <definedName name="AirVoidsAtNmax3">'Calculations'!$I$24</definedName>
    <definedName name="AirVoidsAtNmax4">'Calculations'!$L$24</definedName>
    <definedName name="AREA">'Calculations'!$C$25</definedName>
    <definedName name="AutoCalcOn">'Project'!$H$2</definedName>
    <definedName name="AutoName">'Raw Height Data'!$Q$5</definedName>
    <definedName name="AvgGmb1">'Calculations'!$C$23</definedName>
    <definedName name="AvgGmb2">'Calculations'!$F$23</definedName>
    <definedName name="AvgGmb3">'Calculations'!$I$23</definedName>
    <definedName name="AvgGmb4">'Calculations'!$L$23</definedName>
    <definedName name="AvgGmm1">'Gmm'!$C$20</definedName>
    <definedName name="AvgGmm2">'Gmm'!$F$20</definedName>
    <definedName name="AvgGmm3">'Gmm'!$I$20</definedName>
    <definedName name="AvgGmm4">'Gmm'!$L$20</definedName>
    <definedName name="AvgGmmDes1">'Calculations'!$C$10</definedName>
    <definedName name="AvgGmmDes2">'Calculations'!$F$10</definedName>
    <definedName name="AvgGmmDes3">'Calculations'!$I$10</definedName>
    <definedName name="AvgGmmDes4">'Calculations'!$L$10</definedName>
    <definedName name="AvgGmmIni1">'Calculations'!$C$7</definedName>
    <definedName name="AvgGmmIni2">'Calculations'!$F$7</definedName>
    <definedName name="AvgGmmIni3">'Calculations'!$I$7</definedName>
    <definedName name="AvgGmmIni4">'Calculations'!$L$7</definedName>
    <definedName name="AvgGmmMax1">'Calculations'!$C$13</definedName>
    <definedName name="AvgGmmMax2">'Calculations'!$F$13</definedName>
    <definedName name="AvgGmmMax3">'Calculations'!$I$13</definedName>
    <definedName name="AvgGmmMax4">'Calculations'!$L$13</definedName>
    <definedName name="BlendID1">'Project'!$G$14</definedName>
    <definedName name="BlendID2">'Project'!$G$15</definedName>
    <definedName name="BlendID3">'Project'!$G$16</definedName>
    <definedName name="BlendID4">'Project'!$G$17</definedName>
    <definedName name="CalcNDES">'Specs'!$O$7</definedName>
    <definedName name="CalcNINI">'Specs'!$O$6</definedName>
    <definedName name="CalcNMAX">'Specs'!$O$8</definedName>
    <definedName name="CalculatedGmb">'Gmb'!$A$2</definedName>
    <definedName name="CalculatedMode" localSheetId="3">'Gmb'!#REF!</definedName>
    <definedName name="CalculatedMode">'Gmm'!$A$2</definedName>
    <definedName name="CompacMode">'Calculations'!$K$56</definedName>
    <definedName name="CompacTemp">'Project'!$G$8</definedName>
    <definedName name="Depth">'Project'!$B$9</definedName>
    <definedName name="Diam">'Calculations'!$J$51</definedName>
    <definedName name="DiamIndex">'Calculations'!$K$51</definedName>
    <definedName name="DisplayMode">'Raw Height Data'!$Q$3</definedName>
    <definedName name="Dust1">'Dust Proportion'!$B$15</definedName>
    <definedName name="Dust2">'Dust Proportion'!$C$15</definedName>
    <definedName name="Dust3">'Dust Proportion'!$D$15</definedName>
    <definedName name="Dust4">'Dust Proportion'!$E$15</definedName>
    <definedName name="DustMax">'Specs'!$O$28</definedName>
    <definedName name="DustMin">'Specs'!$O$27</definedName>
    <definedName name="EntryMode">'Calculations'!$K$55</definedName>
    <definedName name="ESALS">'Project'!$B$8</definedName>
    <definedName name="EstVFA1">'Calculations'!$C$19</definedName>
    <definedName name="EstVFA2">'Calculations'!$F$19</definedName>
    <definedName name="EstVFA3">'Calculations'!$I$19</definedName>
    <definedName name="EstVFA4">'Calculations'!$L$19</definedName>
    <definedName name="EstVMA1">'Calculations'!$C$18</definedName>
    <definedName name="EstVMA2">'Calculations'!$F$18</definedName>
    <definedName name="EstVMA3">'Calculations'!$I$18</definedName>
    <definedName name="EstVMA4">'Calculations'!$L$18</definedName>
    <definedName name="Fines1">'Dust Proportion'!$B$6</definedName>
    <definedName name="Fines2">'Dust Proportion'!$C$6</definedName>
    <definedName name="Fines3">'Dust Proportion'!$D$6</definedName>
    <definedName name="Fines4">'Dust Proportion'!$E$6</definedName>
    <definedName name="G_b1" localSheetId="5">'Dust Proportion'!$B$5</definedName>
    <definedName name="G_b2" localSheetId="5">'Dust Proportion'!$C$5</definedName>
    <definedName name="G_b3" localSheetId="5">'Dust Proportion'!$D$5</definedName>
    <definedName name="G_b4" localSheetId="5">'Dust Proportion'!$E$5</definedName>
    <definedName name="Gmb11">'Gmb'!$B$15</definedName>
    <definedName name="Gmb12">'Gmb'!$C$15</definedName>
    <definedName name="Gmb13">'Gmb'!$D$15</definedName>
    <definedName name="Gmb21">'Gmb'!$E$15</definedName>
    <definedName name="Gmb22">'Gmb'!$F$15</definedName>
    <definedName name="Gmb23">'Gmb'!$G$15</definedName>
    <definedName name="Gmb31">'Gmb'!$H$15</definedName>
    <definedName name="Gmb32">'Gmb'!$I$15</definedName>
    <definedName name="Gmb33">'Gmb'!$J$15</definedName>
    <definedName name="Gmb41">'Gmb'!$K$15</definedName>
    <definedName name="Gmb42">'Gmb'!$L$15</definedName>
    <definedName name="Gmb43">'Gmb'!$M$15</definedName>
    <definedName name="GmbMeas11">'Gmb'!$B$10</definedName>
    <definedName name="GmbMeas12">'Gmb'!$C$10</definedName>
    <definedName name="GmbMeas13">'Gmb'!$D$10</definedName>
    <definedName name="GmbMeas21">'Gmb'!$E$10</definedName>
    <definedName name="GmbMeas22">'Gmb'!$F$10</definedName>
    <definedName name="GmbMeas23">'Gmb'!$G$10</definedName>
    <definedName name="GmbMeas31">'Gmb'!$H$10</definedName>
    <definedName name="GmbMeas32">'Gmb'!$I$10</definedName>
    <definedName name="GmbMeas33">'Gmb'!$J$10</definedName>
    <definedName name="GmbMeas41">'Gmb'!$K$10</definedName>
    <definedName name="GmbMeas42">'Gmb'!$L$10</definedName>
    <definedName name="GmbMeas43">'Gmb'!$M$10</definedName>
    <definedName name="GmmIni1">'Calculations'!$C$20</definedName>
    <definedName name="GmmIni2">'Calculations'!$F$20</definedName>
    <definedName name="GmmIni3">'Calculations'!$I$20</definedName>
    <definedName name="GmmIni4">'Calculations'!$L$20</definedName>
    <definedName name="GmmMax1">'Calculations'!$C$21</definedName>
    <definedName name="GmmMax2">'Calculations'!$F$21</definedName>
    <definedName name="GmmMax3">'Calculations'!$I$21</definedName>
    <definedName name="GmmMax4">'Calculations'!$L$21</definedName>
    <definedName name="GoBackTo">'Calculations'!$C$54</definedName>
    <definedName name="Grade">'Project'!$G$7</definedName>
    <definedName name="Gsb1">'%AC'!$B$5</definedName>
    <definedName name="Gsb2">'%AC'!$C$5</definedName>
    <definedName name="Gsb3">'%AC'!$D$5</definedName>
    <definedName name="Gsb4">'%AC'!$E$5</definedName>
    <definedName name="Gse1" localSheetId="5">'Dust Proportion'!$B$12</definedName>
    <definedName name="Gse2" localSheetId="5">'Dust Proportion'!$C$12</definedName>
    <definedName name="Gse3" localSheetId="5">'Dust Proportion'!$D$12</definedName>
    <definedName name="Gse4" localSheetId="5">'Dust Proportion'!$E$12</definedName>
    <definedName name="Mass11">'Gmb'!$B$6</definedName>
    <definedName name="Mass12">'Gmb'!$C$6</definedName>
    <definedName name="Mass13">'Gmb'!$D$6</definedName>
    <definedName name="Mass21">'Gmb'!$E$6</definedName>
    <definedName name="Mass22">'Gmb'!$F$6</definedName>
    <definedName name="Mass23">'Gmb'!$G$6</definedName>
    <definedName name="Mass31">'Gmb'!$H$6</definedName>
    <definedName name="Mass32">'Gmb'!$I$6</definedName>
    <definedName name="Mass33">'Gmb'!$J$6</definedName>
    <definedName name="Mass41">'Gmb'!$K$6</definedName>
    <definedName name="Mass42">'Gmb'!$L$6</definedName>
    <definedName name="Mass43">'Gmb'!$M$6</definedName>
    <definedName name="MixTemp">'Project'!$G$9</definedName>
    <definedName name="NDES">'Specs'!$O$13</definedName>
    <definedName name="NdesLim">'Specs'!$O$19</definedName>
    <definedName name="NegLogo">'Pictures'!$A$1:$D$4</definedName>
    <definedName name="NINI">'Specs'!$O$12</definedName>
    <definedName name="NiniLim">'Specs'!$O$18</definedName>
    <definedName name="NMAX">'Specs'!$O$14</definedName>
    <definedName name="NmaxLim">'Specs'!$O$20</definedName>
    <definedName name="Pba1">'Dust Proportion'!$B$9</definedName>
    <definedName name="Pba2">'Dust Proportion'!$C$9</definedName>
    <definedName name="Pba3">'Dust Proportion'!$D$9</definedName>
    <definedName name="Pba4">'Dust Proportion'!$E$9</definedName>
    <definedName name="Pbe1">'Dust Proportion'!$B$13</definedName>
    <definedName name="Pbe2">'Dust Proportion'!$C$13</definedName>
    <definedName name="Pbe3">'Dust Proportion'!$D$13</definedName>
    <definedName name="Pbe4">'Dust Proportion'!$E$13</definedName>
    <definedName name="PbEst1">'Calculations'!$C$22</definedName>
    <definedName name="PbEst2">'Calculations'!$F$22</definedName>
    <definedName name="PbEst3">'Calculations'!$I$22</definedName>
    <definedName name="PbEst4">'Calculations'!$L$22</definedName>
    <definedName name="Pbi1">'%AC'!$B$6</definedName>
    <definedName name="Pbi2">'%AC'!$C$6</definedName>
    <definedName name="Pbi3">'%AC'!$D$6</definedName>
    <definedName name="Pbi4">'%AC'!$E$6</definedName>
    <definedName name="PinePaveRunning">'Raw Height Data'!$Q$4</definedName>
    <definedName name="PosLogo">'Pictures'!$A$6:$D$7</definedName>
    <definedName name="PosLogo2">'Pictures'!$G$1:$J$6</definedName>
    <definedName name="_xlnm.Print_Titles" localSheetId="0">'Raw Height Data'!$A:$A,'Raw Height Data'!$1:$2</definedName>
    <definedName name="ProjectDate">'Project'!$B$5</definedName>
    <definedName name="ProjectDescription">'Project'!$B$3</definedName>
    <definedName name="Ps1">'%AC'!$B$7</definedName>
    <definedName name="Ps2">'%AC'!$C$7</definedName>
    <definedName name="Ps3">'%AC'!$D$7</definedName>
    <definedName name="Ps4">'%AC'!$E$7</definedName>
    <definedName name="RawHeightData">'Raw Height Data'!$B$3:$M$503</definedName>
    <definedName name="ReportHeights">'G1 Report'!$B$9:$K$58</definedName>
    <definedName name="ReportLabels">'G1 Report'!$A$9:$A$58</definedName>
    <definedName name="Sieve">'Calculations'!$K$47</definedName>
    <definedName name="SieveIndex">'Calculations'!$J$47</definedName>
    <definedName name="Sieves">'Calculations'!$J$42:$K$46</definedName>
    <definedName name="SpecsRange">'Specs'!$C$8:$I$11,'Specs'!$C$21:$K$24,'Specs'!$D$31:$D$36,'Specs'!$G$31,'Specs'!$G$32,'Specs'!$G$36</definedName>
    <definedName name="TableNDES">'Project'!$B$15</definedName>
    <definedName name="TableNINI">'Project'!$B$14</definedName>
    <definedName name="TableNMAX">'Project'!$B$16</definedName>
    <definedName name="Technician">'Project'!$B$4</definedName>
    <definedName name="Temperature">'Project'!$G$10</definedName>
    <definedName name="TrialType">'Calculations'!$K$53</definedName>
    <definedName name="UserGmb11">'Gmb'!$B$9</definedName>
    <definedName name="UserGmm1">'Gmm'!$C$13</definedName>
    <definedName name="UserGmm2">'Gmm'!$F$13</definedName>
    <definedName name="UserGmm3">'Gmm'!$I$13</definedName>
    <definedName name="UserGmm4">'Gmm'!$L$13</definedName>
    <definedName name="UserNDES">'Project'!$C$15</definedName>
    <definedName name="UserNINI">'Project'!$C$14</definedName>
    <definedName name="UserNMAX">'Project'!$C$16</definedName>
    <definedName name="VAMin">'Specs'!$O$31</definedName>
    <definedName name="VFAMax">'Specs'!$O$23</definedName>
    <definedName name="VFAMin">'Specs'!$O$22</definedName>
    <definedName name="VMA1">'Calculations'!$C$15</definedName>
    <definedName name="VMA2">'Calculations'!$F$15</definedName>
    <definedName name="VMA3">'Calculations'!$I$15</definedName>
    <definedName name="VMA4">'Calculations'!$L$15</definedName>
    <definedName name="VMAMin">'Specs'!$O$25</definedName>
    <definedName name="WorkbookName">'Project'!$B$2</definedName>
  </definedNames>
  <calcPr fullCalcOnLoad="1"/>
</workbook>
</file>

<file path=xl/comments12.xml><?xml version="1.0" encoding="utf-8"?>
<comments xmlns="http://schemas.openxmlformats.org/spreadsheetml/2006/main">
  <authors>
    <author>A satisfied Microsoft Office user</author>
  </authors>
  <commentList>
    <comment ref="F25" authorId="0">
      <text>
        <r>
          <rPr>
            <sz val="8"/>
            <rFont val="Tahoma"/>
            <family val="0"/>
          </rPr>
          <t xml:space="preserve">This was fixed at 89.0.  It is now settable by the user.
</t>
        </r>
      </text>
    </comment>
  </commentList>
</comments>
</file>

<file path=xl/comments14.xml><?xml version="1.0" encoding="utf-8"?>
<comments xmlns="http://schemas.openxmlformats.org/spreadsheetml/2006/main">
  <authors>
    <author>A satisfied Microsoft Office user</author>
  </authors>
  <commentList>
    <comment ref="C10" authorId="0">
      <text>
        <r>
          <rPr>
            <sz val="8"/>
            <rFont val="Tahoma"/>
            <family val="0"/>
          </rPr>
          <t>Note:  When the design ESALs are between 3 to &lt; 10 million ESALs the agency may, 
at their discretion, specify Ninitial at 7, Ndesign at 75, and Nmax at 115, based on
local experience.  (From AASHTO Designation PP28-99)
To make the modification described above, changed the number in this cell from 3.0 to 10.0.</t>
        </r>
      </text>
    </comment>
    <comment ref="O12" authorId="0">
      <text>
        <r>
          <rPr>
            <sz val="8"/>
            <rFont val="Tahoma"/>
            <family val="0"/>
          </rPr>
          <t>The contents of this cell depend upon which Option Button is activated on the "Project" worksheet.  If the user has selected the "from table" mode, then this value will be taken from the calculated value of NDES obtained from the table above, otherwise this cell will obtain its value from the value entered by the user in the UserNINI cell on the "Project" worksheet.</t>
        </r>
      </text>
    </comment>
    <comment ref="O13" authorId="0">
      <text>
        <r>
          <rPr>
            <sz val="8"/>
            <rFont val="Tahoma"/>
            <family val="0"/>
          </rPr>
          <t>The contents of this cell depend upon which Option Button is activated on the "Project" worksheet.  If the user has selected the "from table" mode, then this value will be taken from "CalcNDES," looked up in the table above, otherwise this cell will obtain its value from the value entered by the user in the UserNDES cell on the "Project" worksheet.</t>
        </r>
      </text>
    </comment>
    <comment ref="O14" authorId="0">
      <text>
        <r>
          <rPr>
            <sz val="8"/>
            <rFont val="Tahoma"/>
            <family val="0"/>
          </rPr>
          <t>The contents of this cell depend upon which Option Button is activated on the "Project" worksheet.  If the user has selected the "from table" mode, then this value will be taken from the calculated value of NDES obtained from the table above, otherwise this cell will obtain its value from the value entered by the user in the UserNMAX cell on the "Project" worksheet.</t>
        </r>
      </text>
    </comment>
  </commentList>
</comments>
</file>

<file path=xl/comments15.xml><?xml version="1.0" encoding="utf-8"?>
<comments xmlns="http://schemas.openxmlformats.org/spreadsheetml/2006/main">
  <authors>
    <author>A satisfied Microsoft Office user</author>
  </authors>
  <commentList>
    <comment ref="B6" authorId="0">
      <text>
        <r>
          <rPr>
            <sz val="8"/>
            <rFont val="Tahoma"/>
            <family val="0"/>
          </rPr>
          <t xml:space="preserve">Corrected Relative Density @ Nini
                Gmb       Height(Nmax)
  Cx(ini) =  --------  * ---------------------
                Gmm       Height(Nini)
Obtained by calling VB Procedure named CalcCx() which in turn calls FindHeight().
</t>
        </r>
      </text>
    </comment>
    <comment ref="C7" authorId="0">
      <text>
        <r>
          <rPr>
            <sz val="8"/>
            <rFont val="Tahoma"/>
            <family val="0"/>
          </rPr>
          <t>Average Cx(ini) for this blend.</t>
        </r>
      </text>
    </comment>
    <comment ref="B9" authorId="0">
      <text>
        <r>
          <rPr>
            <sz val="8"/>
            <rFont val="Tahoma"/>
            <family val="0"/>
          </rPr>
          <t xml:space="preserve">Corrected Relative Density @ Ndes
                Gmb       Height(Nmax)
  Cx(des) =  --------  * ---------------------
                Gmm       Height(Ndes)
Obtained by calling VB Procedure named CalcCx() which in turn calls FindHeight().
</t>
        </r>
      </text>
    </comment>
    <comment ref="C10" authorId="0">
      <text>
        <r>
          <rPr>
            <sz val="8"/>
            <rFont val="Tahoma"/>
            <family val="0"/>
          </rPr>
          <t>Average Cx(des) for this blend.</t>
        </r>
      </text>
    </comment>
    <comment ref="B12" authorId="0">
      <text>
        <r>
          <rPr>
            <sz val="8"/>
            <rFont val="Tahoma"/>
            <family val="0"/>
          </rPr>
          <t xml:space="preserve">Corrected Relative Density @ Nmax
                Gmb       Height(Nmax)
  Cx(max) =  --------  * ---------------------
                Gmm       Height(Nmax)
Obtained by calling VB Procedure named CalcCx() which in turn calls FindHeight().
</t>
        </r>
      </text>
    </comment>
    <comment ref="C13" authorId="0">
      <text>
        <r>
          <rPr>
            <sz val="8"/>
            <rFont val="Tahoma"/>
            <family val="0"/>
          </rPr>
          <t>Average Cx(max) for this blend.</t>
        </r>
      </text>
    </comment>
    <comment ref="C15" authorId="0">
      <text>
        <r>
          <rPr>
            <sz val="8"/>
            <rFont val="Tahoma"/>
            <family val="0"/>
          </rPr>
          <t>%VMA
From Equation XV:
                                      Avg
                      Cx(Ndes) * Gmm * Ps/100
%VMA = 100 -  ------------------------------------
                                    Gsb
where Cx(Ndes) is %Gmm(corr) @ Ndes</t>
        </r>
      </text>
    </comment>
    <comment ref="C16" authorId="0">
      <text>
        <r>
          <rPr>
            <sz val="8"/>
            <rFont val="Tahoma"/>
            <family val="0"/>
          </rPr>
          <t>%AirVoids at Ndesign
From Equation XIV:
%Air Voids = 100 - Cx(Ndes)
where Cx(Ndes) is Average %Gmm(corr) @ Ndes for this blend.</t>
        </r>
      </text>
    </comment>
    <comment ref="C17" authorId="0">
      <text>
        <r>
          <rPr>
            <sz val="8"/>
            <rFont val="Tahoma"/>
            <family val="0"/>
          </rPr>
          <t xml:space="preserve">Constant for Equation XVII
Calculated as follows:
If Va &lt; 4.0% then Constant = 0.1
Else Constant = 0.2
</t>
        </r>
      </text>
    </comment>
    <comment ref="C18" authorId="0">
      <text>
        <r>
          <rPr>
            <sz val="8"/>
            <rFont val="Tahoma"/>
            <family val="0"/>
          </rPr>
          <t xml:space="preserve">%VMA Estimated
From Equation XVII:
VmaEst = %Vma Initial + (Constant * (4 - Va))
Where constant is calculated as follows:
If Va &lt; 4.0% then Constant = 0.1
Else Constant = 0.2
</t>
        </r>
      </text>
    </comment>
    <comment ref="C19" authorId="0">
      <text>
        <r>
          <rPr>
            <sz val="8"/>
            <rFont val="Tahoma"/>
            <family val="0"/>
          </rPr>
          <t>%VFA Estimated
From Equation XVIII:
                              %VMA Est - 4.0
  %VFA Est  =  100 * -----------------------
                                 %VMA Est</t>
        </r>
      </text>
    </comment>
    <comment ref="C20" authorId="0">
      <text>
        <r>
          <rPr>
            <sz val="8"/>
            <rFont val="Tahoma"/>
            <family val="0"/>
          </rPr>
          <t>GmmIni 
(Estimated %Gmm (corrected) @ Nini)
From Equation XIX:
GmmIni = Cx(Nini) - (4 - AirVoids)
Where Cx(Nini) is AVERAGE corrected density at Nini for this BLEND.</t>
        </r>
      </text>
    </comment>
    <comment ref="C21" authorId="0">
      <text>
        <r>
          <rPr>
            <sz val="8"/>
            <rFont val="Tahoma"/>
            <family val="0"/>
          </rPr>
          <t>GmmMax
(Estimated %Gmm (corrected) @ Nmax)
From Equation XX:
GmmIni = Cx(Nmax) - (4 - AirVoids)
Where Cx(Nmax) is AVERAGE corrected density at Nmax for this BLEND.</t>
        </r>
      </text>
    </comment>
    <comment ref="C22" authorId="0">
      <text>
        <r>
          <rPr>
            <sz val="8"/>
            <rFont val="Tahoma"/>
            <family val="0"/>
          </rPr>
          <t xml:space="preserve">PbEst
Est % Asphalt Content @ 4% Air Voids, i.e. the estimated Asphalt Binder Content that will achieve 4% Air Voids (96% Gmm)
From Equation XVI:
PbEst =  Pbi - (0.4 * (4 - %AirVoids@Ndes))
</t>
        </r>
      </text>
    </comment>
    <comment ref="C24" authorId="0">
      <text>
        <r>
          <rPr>
            <sz val="8"/>
            <rFont val="Tahoma"/>
            <family val="0"/>
          </rPr>
          <t>%AirVoids at Ndesign
From Equation XIV:
%Air Voids = 100 - Cx(Ndes)
where Cx(Ndes) is Average %Gmm(corr) @ Ndes for this blend.</t>
        </r>
      </text>
    </comment>
    <comment ref="C25" authorId="0">
      <text>
        <r>
          <rPr>
            <sz val="8"/>
            <rFont val="Tahoma"/>
            <family val="0"/>
          </rPr>
          <t xml:space="preserve">Area of mold base:
          A = Pi * R^2 
             = Pi * (D/2)^2
</t>
        </r>
      </text>
    </comment>
    <comment ref="K51" authorId="0">
      <text>
        <r>
          <rPr>
            <sz val="8"/>
            <rFont val="Tahoma"/>
            <family val="0"/>
          </rPr>
          <t xml:space="preserve">Diameter Index - If the 150mm button on the project sheet is checked this is equal to 2, if the 100mm button is checked this is equal to 1.  The formula for Diam converts this index to the proper number.
</t>
        </r>
      </text>
    </comment>
    <comment ref="K53" authorId="0">
      <text>
        <r>
          <rPr>
            <sz val="8"/>
            <rFont val="Tahoma"/>
            <family val="0"/>
          </rPr>
          <t>TrialType - If the Trial Aggregate Blends button on the Project sheet is checked this is equal to 1, if the Varying %AC Analysis button is checked this is equal to 2.  The state of these buttons determines which worksheets will be selected when the Print Report button on the Project sheet is clicked.</t>
        </r>
      </text>
    </comment>
    <comment ref="K55" authorId="0">
      <text>
        <r>
          <rPr>
            <sz val="8"/>
            <rFont val="Tahoma"/>
            <family val="0"/>
          </rPr>
          <t xml:space="preserve">(1= From Table, 2 = Manual)
</t>
        </r>
      </text>
    </comment>
    <comment ref="K56" authorId="0">
      <text>
        <r>
          <rPr>
            <sz val="8"/>
            <rFont val="Tahoma"/>
            <family val="0"/>
          </rPr>
          <t xml:space="preserve"> (1 = To Ndes, 2 = To Nmax)
</t>
        </r>
      </text>
    </comment>
  </commentList>
</comments>
</file>

<file path=xl/comments3.xml><?xml version="1.0" encoding="utf-8"?>
<comments xmlns="http://schemas.openxmlformats.org/spreadsheetml/2006/main">
  <authors>
    <author>A satisfied Microsoft Office user</author>
  </authors>
  <commentList>
    <comment ref="C13" authorId="0">
      <text>
        <r>
          <rPr>
            <sz val="8"/>
            <rFont val="Tahoma"/>
            <family val="0"/>
          </rPr>
          <t xml:space="preserve">User may enter Gmb directly here if he has calculated it elsewhere, i.e. on a hard-copy worksheet or calculator.
</t>
        </r>
      </text>
    </comment>
  </commentList>
</comments>
</file>

<file path=xl/comments4.xml><?xml version="1.0" encoding="utf-8"?>
<comments xmlns="http://schemas.openxmlformats.org/spreadsheetml/2006/main">
  <authors>
    <author>A satisfied Microsoft Office user</author>
  </authors>
  <commentList>
    <comment ref="B9" authorId="0">
      <text>
        <r>
          <rPr>
            <sz val="8"/>
            <rFont val="Tahoma"/>
            <family val="0"/>
          </rPr>
          <t xml:space="preserve">User may enter Gmb directly here if he has calculated it elsewhere, i.e. on a hard-copy worksheet or calculator.
</t>
        </r>
      </text>
    </comment>
    <comment ref="B10" authorId="0">
      <text>
        <r>
          <rPr>
            <sz val="8"/>
            <rFont val="Tahoma"/>
            <family val="0"/>
          </rPr>
          <t>GmbMeas (Gmb @ Nmax from mass):  
Measured density of puck after compaction, obtained by weighing the puck in both air and water.
                              Wt. in Air 
GmbMeas   =   ---------------------------------
                      SSD Wt. - Wt. in Water
         (denominator = Puck Volume)
From A.I. Worksheet:   E = A / D</t>
        </r>
      </text>
    </comment>
    <comment ref="B11" authorId="0">
      <text>
        <r>
          <rPr>
            <sz val="8"/>
            <rFont val="Tahoma"/>
            <family val="0"/>
          </rPr>
          <t xml:space="preserve">Gmm (average)
        Average Gmm for this BLEND
         (from the Gmm Worksheet)
</t>
        </r>
      </text>
    </comment>
    <comment ref="B12" authorId="0">
      <text>
        <r>
          <rPr>
            <sz val="8"/>
            <rFont val="Tahoma"/>
            <family val="0"/>
          </rPr>
          <t xml:space="preserve">%Gmm At Nmax (corrected): 
Actual Measured density of puck after compaction expressed as a percentage of the Maximum Theoretical Density (GmmAvg) for this BLEND.
                           GmbMeas
 %GmmAtNmax  =  --------------- * 100
                            GmmAvg 
From A.I. Worksheet:  G = 100 * E / F
</t>
        </r>
      </text>
    </comment>
    <comment ref="B13" authorId="0">
      <text>
        <r>
          <rPr>
            <sz val="8"/>
            <rFont val="Tahoma"/>
            <family val="0"/>
          </rPr>
          <t>%Air Voids At Nmax (corrected)
Measured percentage of air voids after compaction, obtained by subtracting measured %GmmAtNmax from 100.
 %AirVoidsAtNmax = 100 - %GmmAtNmax
From A.I. Worksheet: %Voids = 100 - G</t>
        </r>
      </text>
    </comment>
    <comment ref="B15" authorId="0">
      <text>
        <r>
          <rPr>
            <sz val="8"/>
            <rFont val="Tahoma"/>
            <family val="0"/>
          </rPr>
          <t xml:space="preserve">Gmb @ Nmax from Height
Known as GmbFinal in Pine-Pave, this is the final density of the specimen as CALCULATED from the final measured HEIGHT and specimen MASS (this is different from the actual MEASURED density of the specimen, GmbMeas).
                             Mass
Gmb =  -----------------------------------------------
            (AREA * Height(Nmax)) / 1000
This is equal to Mass / Volume @Nmax. Height(Nmax) is found by calling the VB subroutine "FindHeight()."  Dividing by 1000 converts from cu. mm to cu. cm.
</t>
        </r>
      </text>
    </comment>
  </commentList>
</comments>
</file>

<file path=xl/sharedStrings.xml><?xml version="1.0" encoding="utf-8"?>
<sst xmlns="http://schemas.openxmlformats.org/spreadsheetml/2006/main" count="593" uniqueCount="303">
  <si>
    <t>Gyration Number</t>
  </si>
  <si>
    <t>Specimen 1</t>
  </si>
  <si>
    <t>Specimen 2</t>
  </si>
  <si>
    <t>Specimen 3</t>
  </si>
  <si>
    <t>0</t>
  </si>
  <si>
    <t>Workbook Name:</t>
  </si>
  <si>
    <t>Project Name:</t>
  </si>
  <si>
    <t>Technician:</t>
  </si>
  <si>
    <t>Date:</t>
  </si>
  <si>
    <t>Asphalt Grade:</t>
  </si>
  <si>
    <t>Design ESAL's (millions):</t>
  </si>
  <si>
    <t>Compaction Temp:</t>
  </si>
  <si>
    <t>°C</t>
  </si>
  <si>
    <t>Depth from Surface:</t>
  </si>
  <si>
    <t>mm</t>
  </si>
  <si>
    <t>Mixture Temp:</t>
  </si>
  <si>
    <t>Nom. Sieve Size:</t>
  </si>
  <si>
    <t>Design Temperature:</t>
  </si>
  <si>
    <t>Specimen Diameter:</t>
  </si>
  <si>
    <t>From Table</t>
  </si>
  <si>
    <t>Manual Entry</t>
  </si>
  <si>
    <t>Blend Identifiers</t>
  </si>
  <si>
    <r>
      <t xml:space="preserve">N </t>
    </r>
    <r>
      <rPr>
        <sz val="8"/>
        <color indexed="8"/>
        <rFont val="Arial"/>
        <family val="2"/>
      </rPr>
      <t>Initial:</t>
    </r>
  </si>
  <si>
    <t>Blend 1:</t>
  </si>
  <si>
    <r>
      <t>N</t>
    </r>
    <r>
      <rPr>
        <sz val="10"/>
        <color indexed="8"/>
        <rFont val="Arial"/>
        <family val="2"/>
      </rPr>
      <t xml:space="preserve"> </t>
    </r>
    <r>
      <rPr>
        <sz val="8"/>
        <color indexed="8"/>
        <rFont val="Arial"/>
        <family val="2"/>
      </rPr>
      <t>Design</t>
    </r>
    <r>
      <rPr>
        <sz val="10"/>
        <color indexed="8"/>
        <rFont val="Arial"/>
        <family val="2"/>
      </rPr>
      <t>:</t>
    </r>
  </si>
  <si>
    <t>Blend 2:</t>
  </si>
  <si>
    <r>
      <t>N</t>
    </r>
    <r>
      <rPr>
        <sz val="8"/>
        <color indexed="8"/>
        <rFont val="Arial"/>
        <family val="2"/>
      </rPr>
      <t xml:space="preserve"> Max:</t>
    </r>
  </si>
  <si>
    <t>Blend 3:</t>
  </si>
  <si>
    <t>Blend 4:</t>
  </si>
  <si>
    <t>Key to Cell Colors</t>
  </si>
  <si>
    <t>= Entry Required</t>
  </si>
  <si>
    <t>= Entry Optional</t>
  </si>
  <si>
    <t>= Calculated</t>
  </si>
  <si>
    <t>Max. Theoretical Specific Gravity (Gmm) Worksheet</t>
  </si>
  <si>
    <t>Sample + Bowl Wt. in Air:</t>
  </si>
  <si>
    <t>Bowl Wt. in Air:</t>
  </si>
  <si>
    <t>Sample + Bowl Wt. in Water:</t>
  </si>
  <si>
    <t>Bowl Wt. in Water:</t>
  </si>
  <si>
    <t>Gmm:</t>
  </si>
  <si>
    <t>User-Supplied Average Gmm:</t>
  </si>
  <si>
    <t>Dry Sample Weight:</t>
  </si>
  <si>
    <t>Volumeter Weight:</t>
  </si>
  <si>
    <t>Wt. of Volumeter + Sample + Water:</t>
  </si>
  <si>
    <t>Gmm Used in Calculations:</t>
  </si>
  <si>
    <t>Methods:</t>
  </si>
  <si>
    <t>AASHTO:  T 209-90</t>
  </si>
  <si>
    <t xml:space="preserve">      ASTM:  D2041-91</t>
  </si>
  <si>
    <t>Bulk Specific Gravity (Gmb) Worksheet</t>
  </si>
  <si>
    <t>Specimen Weight in Air:</t>
  </si>
  <si>
    <t>Specimen Weight in Water:</t>
  </si>
  <si>
    <t>SSD Weight in Air:</t>
  </si>
  <si>
    <t>User-Supplied Gmb (calculated elsewhere):</t>
  </si>
  <si>
    <t>Gmb @ Nmax (from mass):</t>
  </si>
  <si>
    <t>Gmm (average):</t>
  </si>
  <si>
    <t>%Gmm @ Nmax (corrected):</t>
  </si>
  <si>
    <t>%Air Voids @ Nmax (corrected):</t>
  </si>
  <si>
    <t>Gmb @ Nmax (from Height):</t>
  </si>
  <si>
    <t>AASHTO:  T 166-88</t>
  </si>
  <si>
    <t xml:space="preserve">          ASTM:  D2726-93</t>
  </si>
  <si>
    <t>Trial Asphalt Binder Content (%AC) Worksheet</t>
  </si>
  <si>
    <t>Aggregate Bulk Specific Gravity (Gsb):</t>
  </si>
  <si>
    <t>Percent Binder by wt. of mix (Pbi):</t>
  </si>
  <si>
    <t>Percent Aggregate (Ps):</t>
  </si>
  <si>
    <t>Dust Proportion (Fines/Pbe) Worksheet</t>
  </si>
  <si>
    <t>Inputs</t>
  </si>
  <si>
    <t>Specific Gravity of Binder(Gb):</t>
  </si>
  <si>
    <t>Fines (% Passing .075mm Sieve)</t>
  </si>
  <si>
    <t>Outputs</t>
  </si>
  <si>
    <t>Absorbed binder: % by wt. of aggregate (Pba)</t>
  </si>
  <si>
    <t>Absorbed binder: % by total wt. of mixture (Pba')</t>
  </si>
  <si>
    <t>Percent AC (Pbi)</t>
  </si>
  <si>
    <t>Effective Specific Gravity (Gse)</t>
  </si>
  <si>
    <t>Effective % Binder (Pbe)</t>
  </si>
  <si>
    <t>Dust Proportion (Fines/Pbe)</t>
  </si>
  <si>
    <t>N Initial:</t>
  </si>
  <si>
    <t>N Design:</t>
  </si>
  <si>
    <t>N Max:</t>
  </si>
  <si>
    <t>#Gyr</t>
  </si>
  <si>
    <t>Ht.</t>
  </si>
  <si>
    <t>%Gmm</t>
  </si>
  <si>
    <t>Avg.</t>
  </si>
  <si>
    <t>(mm)</t>
  </si>
  <si>
    <t>(Est.)</t>
  </si>
  <si>
    <t>(Corr)</t>
  </si>
  <si>
    <t>Gmb</t>
  </si>
  <si>
    <t>Gmm</t>
  </si>
  <si>
    <r>
      <t xml:space="preserve">N </t>
    </r>
    <r>
      <rPr>
        <b/>
        <sz val="8"/>
        <color indexed="8"/>
        <rFont val="Arial"/>
        <family val="0"/>
      </rPr>
      <t>Initial</t>
    </r>
    <r>
      <rPr>
        <b/>
        <sz val="10"/>
        <color indexed="8"/>
        <rFont val="Arial"/>
        <family val="0"/>
      </rPr>
      <t>:</t>
    </r>
  </si>
  <si>
    <r>
      <t xml:space="preserve">N </t>
    </r>
    <r>
      <rPr>
        <b/>
        <sz val="8"/>
        <color indexed="8"/>
        <rFont val="Arial"/>
        <family val="0"/>
      </rPr>
      <t>Design</t>
    </r>
    <r>
      <rPr>
        <b/>
        <sz val="10"/>
        <color indexed="8"/>
        <rFont val="Arial"/>
        <family val="0"/>
      </rPr>
      <t>:</t>
    </r>
  </si>
  <si>
    <r>
      <t xml:space="preserve">N </t>
    </r>
    <r>
      <rPr>
        <b/>
        <sz val="8"/>
        <color indexed="8"/>
        <rFont val="Arial"/>
        <family val="0"/>
      </rPr>
      <t>Max</t>
    </r>
    <r>
      <rPr>
        <b/>
        <sz val="10"/>
        <color indexed="8"/>
        <rFont val="Arial"/>
        <family val="0"/>
      </rPr>
      <t>:</t>
    </r>
  </si>
  <si>
    <t>Blend</t>
  </si>
  <si>
    <t>%AC</t>
  </si>
  <si>
    <r>
      <t>%Air Voids @ N</t>
    </r>
    <r>
      <rPr>
        <sz val="8"/>
        <color indexed="8"/>
        <rFont val="Arial"/>
        <family val="2"/>
      </rPr>
      <t>Design</t>
    </r>
  </si>
  <si>
    <r>
      <t>%VMA @ N</t>
    </r>
    <r>
      <rPr>
        <sz val="8"/>
        <color indexed="8"/>
        <rFont val="Arial"/>
        <family val="2"/>
      </rPr>
      <t>Design</t>
    </r>
  </si>
  <si>
    <t>Estimated %AC @ 4% Va</t>
  </si>
  <si>
    <t>Ag. Bulk Specific Gravity (Gsb):</t>
  </si>
  <si>
    <t>Specific Gravity of Binder (Gb):</t>
  </si>
  <si>
    <t>Fines (%Passing 0.075mm Sieve):</t>
  </si>
  <si>
    <t>Effective Specific Gravity (Gse):</t>
  </si>
  <si>
    <t>Effective % Binder (Pbe):</t>
  </si>
  <si>
    <t>Dust Proportion (0.6-1.2%):</t>
  </si>
  <si>
    <t>Gyratory Compaction Report</t>
  </si>
  <si>
    <t>Machine S/N:</t>
  </si>
  <si>
    <t>Time:</t>
  </si>
  <si>
    <t>Mode:</t>
  </si>
  <si>
    <t>Filename:</t>
  </si>
  <si>
    <t>Mold Diameter:</t>
  </si>
  <si>
    <t>Specimen ID:</t>
  </si>
  <si>
    <t>Y</t>
  </si>
  <si>
    <t>X</t>
  </si>
  <si>
    <r>
      <t>Air Voids @ NM</t>
    </r>
    <r>
      <rPr>
        <sz val="8"/>
        <color indexed="8"/>
        <rFont val="Arial"/>
        <family val="2"/>
      </rPr>
      <t>ax</t>
    </r>
  </si>
  <si>
    <r>
      <t>Air Voids @ N</t>
    </r>
    <r>
      <rPr>
        <sz val="8"/>
        <color indexed="8"/>
        <rFont val="Arial"/>
        <family val="2"/>
      </rPr>
      <t>Design</t>
    </r>
  </si>
  <si>
    <r>
      <t>%VMA N</t>
    </r>
    <r>
      <rPr>
        <sz val="8"/>
        <color indexed="8"/>
        <rFont val="Arial"/>
        <family val="2"/>
      </rPr>
      <t>Design</t>
    </r>
  </si>
  <si>
    <r>
      <t>%VFA @ N</t>
    </r>
    <r>
      <rPr>
        <sz val="8"/>
        <color indexed="8"/>
        <rFont val="Arial"/>
        <family val="2"/>
      </rPr>
      <t>Design</t>
    </r>
  </si>
  <si>
    <t>%Gmm @ NInitial</t>
  </si>
  <si>
    <r>
      <t>Unit Wt. (kg/m</t>
    </r>
    <r>
      <rPr>
        <vertAlign val="superscript"/>
        <sz val="10"/>
        <color indexed="8"/>
        <rFont val="Arial"/>
        <family val="2"/>
      </rPr>
      <t>3</t>
    </r>
    <r>
      <rPr>
        <sz val="10"/>
        <color indexed="8"/>
        <rFont val="Arial"/>
        <family val="2"/>
      </rPr>
      <t>) N</t>
    </r>
    <r>
      <rPr>
        <sz val="8"/>
        <color indexed="8"/>
        <rFont val="Arial"/>
        <family val="2"/>
      </rPr>
      <t>Design</t>
    </r>
  </si>
  <si>
    <t>Dust/Asph Ratio</t>
  </si>
  <si>
    <t>%Air Voids vs. %Binder</t>
  </si>
  <si>
    <t>Min</t>
  </si>
  <si>
    <t>Max</t>
  </si>
  <si>
    <t>Vertical (% Voids)</t>
  </si>
  <si>
    <t>Horizontal (%AC)</t>
  </si>
  <si>
    <t>Air Voids @ NDesign</t>
  </si>
  <si>
    <t>Compaction Temperature:</t>
  </si>
  <si>
    <t>Mixture Temperature:</t>
  </si>
  <si>
    <t>Depth from Surface (mm):</t>
  </si>
  <si>
    <t>Mold Size:</t>
  </si>
  <si>
    <t>Results</t>
  </si>
  <si>
    <t>Property</t>
  </si>
  <si>
    <t>Criteria</t>
  </si>
  <si>
    <r>
      <t>%Air Voids (V</t>
    </r>
    <r>
      <rPr>
        <vertAlign val="subscript"/>
        <sz val="14"/>
        <rFont val="Arial"/>
        <family val="2"/>
      </rPr>
      <t>a</t>
    </r>
    <r>
      <rPr>
        <sz val="12"/>
        <rFont val="Arial"/>
        <family val="2"/>
      </rPr>
      <t>)</t>
    </r>
  </si>
  <si>
    <t>%</t>
  </si>
  <si>
    <t>%VMA</t>
  </si>
  <si>
    <t>% Min.</t>
  </si>
  <si>
    <t>%VFA</t>
  </si>
  <si>
    <t>% Max.</t>
  </si>
  <si>
    <t>Dust/Asphalt Ratio</t>
  </si>
  <si>
    <r>
      <t>Max. Specific Gravity (G</t>
    </r>
    <r>
      <rPr>
        <vertAlign val="subscript"/>
        <sz val="14"/>
        <rFont val="Arial"/>
        <family val="2"/>
      </rPr>
      <t>mm</t>
    </r>
    <r>
      <rPr>
        <sz val="12"/>
        <rFont val="Arial"/>
        <family val="2"/>
      </rPr>
      <t>)</t>
    </r>
  </si>
  <si>
    <r>
      <t>Bulk Specific Gravity (G</t>
    </r>
    <r>
      <rPr>
        <vertAlign val="subscript"/>
        <sz val="14"/>
        <rFont val="Arial"/>
        <family val="2"/>
      </rPr>
      <t>mb</t>
    </r>
    <r>
      <rPr>
        <sz val="12"/>
        <rFont val="Arial"/>
        <family val="2"/>
      </rPr>
      <t>)</t>
    </r>
  </si>
  <si>
    <r>
      <t>%G</t>
    </r>
    <r>
      <rPr>
        <vertAlign val="subscript"/>
        <sz val="14"/>
        <rFont val="Arial"/>
        <family val="2"/>
      </rPr>
      <t>mm</t>
    </r>
    <r>
      <rPr>
        <sz val="12"/>
        <rFont val="Arial"/>
        <family val="2"/>
      </rPr>
      <t xml:space="preserve"> @ N</t>
    </r>
    <r>
      <rPr>
        <vertAlign val="subscript"/>
        <sz val="14"/>
        <rFont val="Arial"/>
        <family val="2"/>
      </rPr>
      <t>ini</t>
    </r>
  </si>
  <si>
    <r>
      <t>%G</t>
    </r>
    <r>
      <rPr>
        <sz val="10"/>
        <rFont val="Arial"/>
        <family val="2"/>
      </rPr>
      <t>mm</t>
    </r>
    <r>
      <rPr>
        <sz val="12"/>
        <rFont val="Arial"/>
        <family val="2"/>
      </rPr>
      <t xml:space="preserve"> @ N</t>
    </r>
    <r>
      <rPr>
        <sz val="10"/>
        <rFont val="Arial"/>
        <family val="2"/>
      </rPr>
      <t>des</t>
    </r>
  </si>
  <si>
    <r>
      <t>%G</t>
    </r>
    <r>
      <rPr>
        <vertAlign val="subscript"/>
        <sz val="14"/>
        <rFont val="Arial"/>
        <family val="2"/>
      </rPr>
      <t>mm</t>
    </r>
    <r>
      <rPr>
        <sz val="12"/>
        <rFont val="Arial"/>
        <family val="2"/>
      </rPr>
      <t xml:space="preserve"> @ N</t>
    </r>
    <r>
      <rPr>
        <vertAlign val="subscript"/>
        <sz val="14"/>
        <rFont val="Arial"/>
        <family val="2"/>
      </rPr>
      <t>max</t>
    </r>
  </si>
  <si>
    <r>
      <t>Effective Sp. Gravity of Blend (G</t>
    </r>
    <r>
      <rPr>
        <vertAlign val="subscript"/>
        <sz val="14"/>
        <rFont val="Arial"/>
        <family val="2"/>
      </rPr>
      <t>se</t>
    </r>
    <r>
      <rPr>
        <sz val="12"/>
        <rFont val="Arial"/>
        <family val="2"/>
      </rPr>
      <t>)</t>
    </r>
  </si>
  <si>
    <t>---</t>
  </si>
  <si>
    <r>
      <t>Sp. Gravity of Binder (G</t>
    </r>
    <r>
      <rPr>
        <vertAlign val="subscript"/>
        <sz val="14"/>
        <rFont val="Arial"/>
        <family val="2"/>
      </rPr>
      <t>b</t>
    </r>
    <r>
      <rPr>
        <sz val="12"/>
        <rFont val="Arial"/>
        <family val="2"/>
      </rPr>
      <t>)</t>
    </r>
  </si>
  <si>
    <r>
      <t>Sp. Gravity of Aggregate (Gs</t>
    </r>
    <r>
      <rPr>
        <vertAlign val="subscript"/>
        <sz val="14"/>
        <rFont val="Arial"/>
        <family val="2"/>
      </rPr>
      <t>b</t>
    </r>
    <r>
      <rPr>
        <sz val="12"/>
        <rFont val="Arial"/>
        <family val="2"/>
      </rPr>
      <t>)</t>
    </r>
  </si>
  <si>
    <t>%Gmm Charts for Individual Specimens</t>
  </si>
  <si>
    <t>Project Specifications</t>
  </si>
  <si>
    <t>Values used in Charts &amp; Reports</t>
  </si>
  <si>
    <t>(extracted from tables to left)</t>
  </si>
  <si>
    <t>Table 1</t>
  </si>
  <si>
    <t>Design ESAL's:</t>
  </si>
  <si>
    <t>From Project Worksheet</t>
  </si>
  <si>
    <t>Superpave Gyratory</t>
  </si>
  <si>
    <t>Values Calculated from Table</t>
  </si>
  <si>
    <t xml:space="preserve"> Compaction Effort</t>
  </si>
  <si>
    <t>Required Density</t>
  </si>
  <si>
    <r>
      <t>N</t>
    </r>
    <r>
      <rPr>
        <sz val="10"/>
        <color indexed="8"/>
        <rFont val="Arial"/>
        <family val="2"/>
      </rPr>
      <t xml:space="preserve"> </t>
    </r>
    <r>
      <rPr>
        <sz val="8"/>
        <color indexed="8"/>
        <rFont val="Arial"/>
        <family val="2"/>
      </rPr>
      <t>Initial</t>
    </r>
    <r>
      <rPr>
        <sz val="10"/>
        <color indexed="8"/>
        <rFont val="Arial"/>
        <family val="2"/>
      </rPr>
      <t>:</t>
    </r>
  </si>
  <si>
    <t>Range</t>
  </si>
  <si>
    <r>
      <t>ESALS x 10</t>
    </r>
    <r>
      <rPr>
        <b/>
        <vertAlign val="superscript"/>
        <sz val="10"/>
        <color indexed="8"/>
        <rFont val="Arial"/>
        <family val="2"/>
      </rPr>
      <t>6</t>
    </r>
  </si>
  <si>
    <t>Nini</t>
  </si>
  <si>
    <t>Ndes</t>
  </si>
  <si>
    <t>Nmax</t>
  </si>
  <si>
    <t>&lt; 0.3</t>
  </si>
  <si>
    <r>
      <t>N</t>
    </r>
    <r>
      <rPr>
        <sz val="10"/>
        <color indexed="8"/>
        <rFont val="Arial"/>
        <family val="2"/>
      </rPr>
      <t xml:space="preserve"> </t>
    </r>
    <r>
      <rPr>
        <sz val="8"/>
        <color indexed="8"/>
        <rFont val="Arial"/>
        <family val="2"/>
      </rPr>
      <t>Max</t>
    </r>
    <r>
      <rPr>
        <sz val="10"/>
        <color indexed="8"/>
        <rFont val="Arial"/>
        <family val="2"/>
      </rPr>
      <t>:</t>
    </r>
  </si>
  <si>
    <t>0.3 to &lt; 3</t>
  </si>
  <si>
    <t>3.0 to &lt; 30</t>
  </si>
  <si>
    <t>&gt;= 30</t>
  </si>
  <si>
    <t>Values Used in Equations</t>
  </si>
  <si>
    <t>VFA Limits vs. Nominal Sieve Size and Traffic Level</t>
  </si>
  <si>
    <t>Density Limits for Charts</t>
  </si>
  <si>
    <t>9.5mm</t>
  </si>
  <si>
    <t>25.0mm</t>
  </si>
  <si>
    <t>37.5mm</t>
  </si>
  <si>
    <t>All Others</t>
  </si>
  <si>
    <t>VFA Min</t>
  </si>
  <si>
    <t>VFA Max</t>
  </si>
  <si>
    <t>VMA Min</t>
  </si>
  <si>
    <t>DP Min.</t>
  </si>
  <si>
    <t>DP Max.</t>
  </si>
  <si>
    <t>VMA Limit</t>
  </si>
  <si>
    <t>Nominal Sieve</t>
  </si>
  <si>
    <t>Min VMA</t>
  </si>
  <si>
    <t>Dust Proportion</t>
  </si>
  <si>
    <t>Min.</t>
  </si>
  <si>
    <t>VA Min.</t>
  </si>
  <si>
    <t>Max.</t>
  </si>
  <si>
    <t>Air Voids</t>
  </si>
  <si>
    <t>%Gmm @ N Ini (corrected):</t>
  </si>
  <si>
    <t>Average:</t>
  </si>
  <si>
    <t>%Gmm @ N Des (corrected):</t>
  </si>
  <si>
    <t>%Gmm @ N Max (corrected):</t>
  </si>
  <si>
    <t>VMA (Equation XV):</t>
  </si>
  <si>
    <t>AirVoids (Equation XIV):</t>
  </si>
  <si>
    <t>Constant:</t>
  </si>
  <si>
    <t>Estimated VMA (Equation XVII):</t>
  </si>
  <si>
    <t>Estimated VFA (Equation XVIII):</t>
  </si>
  <si>
    <t>GmmIni (Equation XIX):</t>
  </si>
  <si>
    <t>GmmMax (Equation XX):</t>
  </si>
  <si>
    <t>PbEst (Equation XVI):</t>
  </si>
  <si>
    <t>Average Gmb (measured):</t>
  </si>
  <si>
    <t>AirVoids at Nmax:</t>
  </si>
  <si>
    <t>Mold Base Area (150mm Diam):</t>
  </si>
  <si>
    <t>%Binder</t>
  </si>
  <si>
    <t>%Voids @Ndes</t>
  </si>
  <si>
    <t>%Voids @Nmax</t>
  </si>
  <si>
    <t>Percent Lines for Varying Asphalt Content Charts</t>
  </si>
  <si>
    <t>% AC</t>
  </si>
  <si>
    <t>VMA Chart</t>
  </si>
  <si>
    <t>VFA Chart</t>
  </si>
  <si>
    <t>Voids Chart</t>
  </si>
  <si>
    <t>Nini Chart</t>
  </si>
  <si>
    <t>Nmax Chart</t>
  </si>
  <si>
    <t>Dust Chart</t>
  </si>
  <si>
    <t>Ranges added to %Gmm Chart for percent lines.</t>
  </si>
  <si>
    <t>=Not plotted when CompacMode = 1 (to Ndes)</t>
  </si>
  <si>
    <t>Sieves</t>
  </si>
  <si>
    <t>This table is used for adding the vertical lines to the Gmm chart</t>
  </si>
  <si>
    <t>This table is used to calculate density in Kg/Cu. M</t>
  </si>
  <si>
    <t>Spec 1</t>
  </si>
  <si>
    <t>Spec 2</t>
  </si>
  <si>
    <t>Spec 3</t>
  </si>
  <si>
    <t>Average * 1000</t>
  </si>
  <si>
    <t>Specimen Diameter</t>
  </si>
  <si>
    <t>Blend 1</t>
  </si>
  <si>
    <t>Blend 2</t>
  </si>
  <si>
    <t>Blend 3</t>
  </si>
  <si>
    <t>Blend 4</t>
  </si>
  <si>
    <t>Trial Type:</t>
  </si>
  <si>
    <t>Raw Height Data</t>
  </si>
  <si>
    <t>Entry Mode:</t>
  </si>
  <si>
    <t>Compaction Mode:</t>
  </si>
  <si>
    <t>The following items have an effect on the project specifications or specification limits:</t>
  </si>
  <si>
    <t>Item</t>
  </si>
  <si>
    <t>Current Value</t>
  </si>
  <si>
    <t>Affected</t>
  </si>
  <si>
    <t>Gmb (from height)</t>
  </si>
  <si>
    <t>Compaction Effort Entry Mode:</t>
  </si>
  <si>
    <t>Nini, Ndes, Nmax</t>
  </si>
  <si>
    <t>%Gmm @Nmax</t>
  </si>
  <si>
    <t>Report Titles</t>
  </si>
  <si>
    <t>Nominal Sieve Size:</t>
  </si>
  <si>
    <t>%VMA Min. Limit</t>
  </si>
  <si>
    <t>Design ESALs:</t>
  </si>
  <si>
    <t>VFA limits, Nini, Ndes, Nmax</t>
  </si>
  <si>
    <t>The following items are for reference only and have no effect on project specifications:</t>
  </si>
  <si>
    <t>Design Temp:</t>
  </si>
  <si>
    <t>Gmm Method:</t>
  </si>
  <si>
    <t>Gmb Method:</t>
  </si>
  <si>
    <t>Depth From Surface:</t>
  </si>
  <si>
    <t>Set vertical and horizontal scales as desired for charts on Varying %AC Report.</t>
  </si>
  <si>
    <t>Click OK when finished.</t>
  </si>
  <si>
    <t>%Gmm vs. Gyrations</t>
  </si>
  <si>
    <t>%Air Voids</t>
  </si>
  <si>
    <t>Veritcal</t>
  </si>
  <si>
    <t>Vertical</t>
  </si>
  <si>
    <t>Horizontal (Gyr)</t>
  </si>
  <si>
    <t>Fixed</t>
  </si>
  <si>
    <t>%Gmm @ Ninitial</t>
  </si>
  <si>
    <t>%Gmm @ Ndes (or Nmax)</t>
  </si>
  <si>
    <t>Density</t>
  </si>
  <si>
    <t>Default Scales</t>
  </si>
  <si>
    <t>%Gmm @ Nini</t>
  </si>
  <si>
    <t>%Gmm @ Nmax</t>
  </si>
  <si>
    <t>%Binder (x-axis)</t>
  </si>
  <si>
    <t>Revisions:</t>
  </si>
  <si>
    <t>Rev.</t>
  </si>
  <si>
    <t>Date</t>
  </si>
  <si>
    <t>Description</t>
  </si>
  <si>
    <t>5.00</t>
  </si>
  <si>
    <t>1.  Fixed minor bug that forced user to enter a value for Nmax even if they were only compacting to Ndesign.</t>
  </si>
  <si>
    <t>2.  Made minor changes to pinemacs.xls.  Nmax box styles were not correct when CompacMode and EntryMode were toggled.</t>
  </si>
  <si>
    <t>5.00a</t>
  </si>
  <si>
    <t>1.  Added "Automatic Calculation" checkbox to Project worksheet.  When workbook opens the calculation mode is set</t>
  </si>
  <si>
    <t xml:space="preserve">     based on the state of this box.  The box is linked to 'AutoCalcOn' (Cell H3).  Workbooks will now open and run in either</t>
  </si>
  <si>
    <t xml:space="preserve">     manual or automatic Calculation mode at the user's preference.  Pinemacs.xls was modified to support this feature.</t>
  </si>
  <si>
    <t>2.  Protected Raw Height Data worksheet.  It was left unprotected after last revs.</t>
  </si>
  <si>
    <t>3.  Removed temporary formulas from 'Project'!J17 &amp; J18.  They were accidently left there after last revs.</t>
  </si>
  <si>
    <t>4.  Removed logo from InfoBox and made the box smaller so it will fit on lower-resolution screens.</t>
  </si>
  <si>
    <t>5.  Added 'a' to Cell I2 on Project worksheet so that Comm. Module can read rev. level and behave accordingly.</t>
  </si>
  <si>
    <t>6.  Deleted unused logos from this worksheet.</t>
  </si>
  <si>
    <t>5.00a-1</t>
  </si>
  <si>
    <t xml:space="preserve">The most significant change that was made in going from Version 5.00a to 5.00a-1, is that the aggregate </t>
  </si>
  <si>
    <t xml:space="preserve">templates have now been combined into one template.  Instead of having five separate aggregate templates </t>
  </si>
  <si>
    <t xml:space="preserve">(one for each nominal sieve size), there is now only ONE "universal" template which can be used for </t>
  </si>
  <si>
    <t xml:space="preserve">designing aggregate blends using any of the five nominal sieve sizes.  When using this template to </t>
  </si>
  <si>
    <t xml:space="preserve">create a workbook, the designer simply selects the desired sieve size from within the workbook and all </t>
  </si>
  <si>
    <t>charts, limits, etc. are adjusted accordingly.</t>
  </si>
  <si>
    <t xml:space="preserve">The Pine375.xlt, Pine250.xlt, Pine190.xlt, Pine125.xlt, and Pine095.xlt templates have been replaced </t>
  </si>
  <si>
    <t>by the single template named PineAgs.xlt.</t>
  </si>
  <si>
    <t xml:space="preserve">In addition, a minor error in the Blend (weigh-up) worksheets has been corrected. In the previous </t>
  </si>
  <si>
    <t>version the sieve sizes did not line up properly with the weights when in the "Weight Retained" mode.</t>
  </si>
  <si>
    <t xml:space="preserve">In the Project Template (Pine-Prj.xlt) one minor bug was fixed.  On the Densification Chart the vertical </t>
  </si>
  <si>
    <t xml:space="preserve">blue lines representing N-initial, N-design, and N-max were not always re-displayed when switching </t>
  </si>
  <si>
    <t>compaction modes.</t>
  </si>
  <si>
    <t>5.00a-2</t>
  </si>
  <si>
    <t>This version corrects two minor errors in the PineAgs.xlt (aggregates)workbook template:</t>
  </si>
  <si>
    <t>1.  Vbe (estimated) is now being calculated correctly for all sieve sizes.</t>
  </si>
  <si>
    <t xml:space="preserve">2.  The Cold Feed Blend weights in the Blend Sheets are now being calculated correctly.  A column for Individual </t>
  </si>
  <si>
    <t xml:space="preserve">    Weights has been added.</t>
  </si>
  <si>
    <t>In this version PINEMACS.XLS was eliminated.  All of the VB code from PINEMACS is now embedded in THIS template</t>
  </si>
  <si>
    <t>(Pine-Prj.xlt).  The Pine toolbar attached to this template is named "Pine500a."  I also detached the Pine500 Toolbar</t>
  </si>
  <si>
    <t>from this workbook.  It will no longer be used.</t>
  </si>
  <si>
    <r>
      <t>V5.01</t>
    </r>
    <r>
      <rPr>
        <b/>
        <sz val="8"/>
        <color indexed="49"/>
        <rFont val="Arial"/>
        <family val="2"/>
      </rPr>
      <t xml:space="preserve"> 23</t>
    </r>
    <r>
      <rPr>
        <sz val="8"/>
        <color indexed="49"/>
        <rFont val="Arial"/>
        <family val="2"/>
      </rPr>
      <t>-Apr-2002</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</si>
</sst>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A\l\l"/>
    <numFmt numFmtId="167" formatCode="0.000"/>
    <numFmt numFmtId="168" formatCode="0.0000000"/>
    <numFmt numFmtId="169" formatCode="0.000000"/>
    <numFmt numFmtId="170" formatCode="0.00000"/>
    <numFmt numFmtId="171" formatCode="0.0000"/>
    <numFmt numFmtId="172" formatCode="#&quot;%&quot;"/>
    <numFmt numFmtId="173" formatCode="#.##&quot;%&quot;"/>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mmmm\ d\,\ yyyy"/>
    <numFmt numFmtId="182" formatCode="mm/dd/yy"/>
  </numFmts>
  <fonts count="53">
    <font>
      <sz val="10"/>
      <name val="Arial"/>
      <family val="0"/>
    </font>
    <font>
      <b/>
      <sz val="10"/>
      <name val="Arial"/>
      <family val="0"/>
    </font>
    <font>
      <i/>
      <sz val="10"/>
      <name val="Arial"/>
      <family val="0"/>
    </font>
    <font>
      <b/>
      <i/>
      <sz val="10"/>
      <name val="Arial"/>
      <family val="0"/>
    </font>
    <font>
      <sz val="10"/>
      <color indexed="10"/>
      <name val="Arial"/>
      <family val="2"/>
    </font>
    <font>
      <sz val="10"/>
      <color indexed="8"/>
      <name val="Arial"/>
      <family val="2"/>
    </font>
    <font>
      <sz val="10"/>
      <color indexed="11"/>
      <name val="Arial"/>
      <family val="2"/>
    </font>
    <font>
      <sz val="8"/>
      <name val="Arial"/>
      <family val="2"/>
    </font>
    <font>
      <b/>
      <sz val="10"/>
      <color indexed="8"/>
      <name val="Arial"/>
      <family val="2"/>
    </font>
    <font>
      <b/>
      <sz val="12"/>
      <color indexed="8"/>
      <name val="Arial"/>
      <family val="2"/>
    </font>
    <font>
      <sz val="8"/>
      <color indexed="8"/>
      <name val="Arial"/>
      <family val="2"/>
    </font>
    <font>
      <b/>
      <sz val="10"/>
      <color indexed="10"/>
      <name val="Arial"/>
      <family val="0"/>
    </font>
    <font>
      <b/>
      <sz val="8"/>
      <color indexed="8"/>
      <name val="Arial"/>
      <family val="0"/>
    </font>
    <font>
      <sz val="12"/>
      <color indexed="8"/>
      <name val="Arial"/>
      <family val="2"/>
    </font>
    <font>
      <b/>
      <sz val="10"/>
      <color indexed="16"/>
      <name val="Arial"/>
      <family val="2"/>
    </font>
    <font>
      <b/>
      <sz val="10"/>
      <color indexed="32"/>
      <name val="Arial"/>
      <family val="2"/>
    </font>
    <font>
      <b/>
      <i/>
      <sz val="10"/>
      <color indexed="23"/>
      <name val="Arial"/>
      <family val="2"/>
    </font>
    <font>
      <sz val="10"/>
      <color indexed="22"/>
      <name val="Arial"/>
      <family val="2"/>
    </font>
    <font>
      <b/>
      <sz val="10"/>
      <color indexed="18"/>
      <name val="Arial"/>
      <family val="2"/>
    </font>
    <font>
      <sz val="10"/>
      <color indexed="16"/>
      <name val="Arial"/>
      <family val="2"/>
    </font>
    <font>
      <sz val="10"/>
      <color indexed="18"/>
      <name val="Arial"/>
      <family val="0"/>
    </font>
    <font>
      <sz val="11"/>
      <color indexed="8"/>
      <name val="Arial"/>
      <family val="2"/>
    </font>
    <font>
      <b/>
      <sz val="8"/>
      <name val="Arial"/>
      <family val="2"/>
    </font>
    <font>
      <sz val="10"/>
      <color indexed="23"/>
      <name val="Arial"/>
      <family val="2"/>
    </font>
    <font>
      <b/>
      <i/>
      <sz val="10"/>
      <color indexed="22"/>
      <name val="Arial"/>
      <family val="0"/>
    </font>
    <font>
      <b/>
      <u val="single"/>
      <sz val="10"/>
      <color indexed="8"/>
      <name val="Arial"/>
      <family val="2"/>
    </font>
    <font>
      <b/>
      <u val="single"/>
      <sz val="10"/>
      <name val="Arial"/>
      <family val="2"/>
    </font>
    <font>
      <sz val="10"/>
      <color indexed="9"/>
      <name val="Arial"/>
      <family val="2"/>
    </font>
    <font>
      <sz val="12"/>
      <name val="Arial"/>
      <family val="2"/>
    </font>
    <font>
      <vertAlign val="superscript"/>
      <sz val="10"/>
      <color indexed="8"/>
      <name val="Arial"/>
      <family val="2"/>
    </font>
    <font>
      <sz val="14"/>
      <name val="Arial"/>
      <family val="2"/>
    </font>
    <font>
      <b/>
      <sz val="14"/>
      <name val="Arial"/>
      <family val="2"/>
    </font>
    <font>
      <vertAlign val="subscript"/>
      <sz val="14"/>
      <name val="Arial"/>
      <family val="2"/>
    </font>
    <font>
      <sz val="12"/>
      <color indexed="16"/>
      <name val="Arial"/>
      <family val="2"/>
    </font>
    <font>
      <b/>
      <sz val="14"/>
      <color indexed="8"/>
      <name val="Arial"/>
      <family val="2"/>
    </font>
    <font>
      <sz val="10"/>
      <color indexed="25"/>
      <name val="Arial"/>
      <family val="2"/>
    </font>
    <font>
      <b/>
      <sz val="10"/>
      <color indexed="25"/>
      <name val="Arial"/>
      <family val="0"/>
    </font>
    <font>
      <b/>
      <sz val="22"/>
      <name val="Arial"/>
      <family val="2"/>
    </font>
    <font>
      <b/>
      <sz val="14"/>
      <color indexed="16"/>
      <name val="Arial"/>
      <family val="2"/>
    </font>
    <font>
      <sz val="14"/>
      <color indexed="16"/>
      <name val="Arial"/>
      <family val="2"/>
    </font>
    <font>
      <b/>
      <sz val="12"/>
      <name val="Arial"/>
      <family val="2"/>
    </font>
    <font>
      <b/>
      <sz val="16"/>
      <color indexed="16"/>
      <name val="Arial"/>
      <family val="2"/>
    </font>
    <font>
      <b/>
      <sz val="22"/>
      <color indexed="16"/>
      <name val="Arial"/>
      <family val="2"/>
    </font>
    <font>
      <sz val="10"/>
      <color indexed="56"/>
      <name val="Arial"/>
      <family val="2"/>
    </font>
    <font>
      <b/>
      <vertAlign val="superscript"/>
      <sz val="10"/>
      <color indexed="8"/>
      <name val="Arial"/>
      <family val="2"/>
    </font>
    <font>
      <u val="single"/>
      <sz val="10"/>
      <color indexed="8"/>
      <name val="Arial"/>
      <family val="2"/>
    </font>
    <font>
      <sz val="14"/>
      <color indexed="8"/>
      <name val="Arial"/>
      <family val="2"/>
    </font>
    <font>
      <sz val="12"/>
      <color indexed="18"/>
      <name val="Arial"/>
      <family val="2"/>
    </font>
    <font>
      <b/>
      <i/>
      <sz val="14"/>
      <name val="Arial"/>
      <family val="2"/>
    </font>
    <font>
      <sz val="9"/>
      <color indexed="8"/>
      <name val="Arial"/>
      <family val="2"/>
    </font>
    <font>
      <b/>
      <sz val="8"/>
      <color indexed="49"/>
      <name val="Arial"/>
      <family val="2"/>
    </font>
    <font>
      <sz val="8"/>
      <color indexed="49"/>
      <name val="Arial"/>
      <family val="2"/>
    </font>
    <font>
      <sz val="8"/>
      <name val="Tahoma"/>
      <family val="2"/>
    </font>
  </fonts>
  <fills count="1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2"/>
        <bgColor indexed="64"/>
      </patternFill>
    </fill>
    <fill>
      <patternFill patternType="solid">
        <fgColor indexed="19"/>
        <bgColor indexed="64"/>
      </patternFill>
    </fill>
    <fill>
      <patternFill patternType="solid">
        <fgColor indexed="27"/>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s>
  <borders count="51">
    <border>
      <left/>
      <right/>
      <top/>
      <bottom/>
      <diagonal/>
    </border>
    <border>
      <left style="thin"/>
      <right style="thin"/>
      <top style="thin"/>
      <bottom style="thin"/>
    </border>
    <border>
      <left style="dotted">
        <color indexed="23"/>
      </left>
      <right style="dotted">
        <color indexed="23"/>
      </right>
      <top style="dotted">
        <color indexed="23"/>
      </top>
      <bottom style="dotted">
        <color indexed="2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 fontId="16" fillId="2" borderId="1" applyBorder="0">
      <alignment horizontal="right"/>
      <protection/>
    </xf>
    <xf numFmtId="49" fontId="0" fillId="2" borderId="1" applyNumberFormat="0" applyFill="0">
      <alignment horizontal="center"/>
      <protection/>
    </xf>
    <xf numFmtId="0" fontId="27" fillId="0" borderId="0" applyNumberFormat="0" applyBorder="0" applyAlignment="0">
      <protection hidden="1"/>
    </xf>
    <xf numFmtId="165" fontId="18" fillId="0" borderId="1" applyNumberFormat="0" applyBorder="0" applyProtection="0">
      <alignment horizontal="right"/>
    </xf>
    <xf numFmtId="165" fontId="15" fillId="0" borderId="1" applyNumberFormat="0">
      <alignment horizontal="right"/>
      <protection locked="0"/>
    </xf>
    <xf numFmtId="49" fontId="17" fillId="2" borderId="0" applyNumberFormat="0">
      <alignment horizontal="right"/>
      <protection/>
    </xf>
    <xf numFmtId="0" fontId="0" fillId="0" borderId="0">
      <alignment/>
      <protection/>
    </xf>
    <xf numFmtId="1" fontId="14" fillId="3" borderId="1" applyNumberFormat="0" applyBorder="0">
      <alignment horizontal="right"/>
      <protection/>
    </xf>
    <xf numFmtId="165" fontId="14" fillId="3" borderId="1" applyNumberFormat="0">
      <alignment horizontal="right"/>
      <protection/>
    </xf>
    <xf numFmtId="9" fontId="0" fillId="0" borderId="0" applyFont="0" applyFill="0" applyBorder="0" applyAlignment="0" applyProtection="0"/>
    <xf numFmtId="0" fontId="19" fillId="3" borderId="0" applyNumberFormat="0" applyBorder="0">
      <alignment horizontal="right"/>
      <protection/>
    </xf>
    <xf numFmtId="0" fontId="23" fillId="0" borderId="2" applyNumberFormat="0" applyAlignment="0">
      <protection/>
    </xf>
    <xf numFmtId="0" fontId="5" fillId="0" borderId="0" applyNumberFormat="0" applyBorder="0" applyAlignment="0">
      <protection locked="0"/>
    </xf>
    <xf numFmtId="1" fontId="18" fillId="0" borderId="1">
      <alignment horizontal="right"/>
      <protection locked="0"/>
    </xf>
    <xf numFmtId="49" fontId="0" fillId="2" borderId="0">
      <alignment horizontal="right"/>
      <protection/>
    </xf>
    <xf numFmtId="165" fontId="0" fillId="2" borderId="1">
      <alignment horizontal="center"/>
      <protection/>
    </xf>
  </cellStyleXfs>
  <cellXfs count="631">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2" borderId="0" xfId="0" applyFill="1" applyAlignment="1" applyProtection="1">
      <alignment/>
      <protection locked="0"/>
    </xf>
    <xf numFmtId="49" fontId="0" fillId="2" borderId="0" xfId="0" applyNumberFormat="1" applyFill="1" applyAlignment="1" applyProtection="1">
      <alignment horizontal="right"/>
      <protection locked="0"/>
    </xf>
    <xf numFmtId="0" fontId="0" fillId="2" borderId="0" xfId="0" applyNumberFormat="1" applyFill="1" applyAlignment="1" applyProtection="1">
      <alignment horizontal="right"/>
      <protection locked="0"/>
    </xf>
    <xf numFmtId="0" fontId="0" fillId="2" borderId="0" xfId="0" applyNumberFormat="1" applyFill="1" applyAlignment="1" applyProtection="1">
      <alignment/>
      <protection locked="0"/>
    </xf>
    <xf numFmtId="0" fontId="0" fillId="2" borderId="0" xfId="0" applyNumberFormat="1" applyFill="1" applyAlignment="1" applyProtection="1">
      <alignment/>
      <protection locked="0"/>
    </xf>
    <xf numFmtId="49" fontId="0" fillId="2" borderId="0" xfId="0" applyNumberFormat="1" applyFill="1" applyAlignment="1" applyProtection="1">
      <alignment horizontal="right"/>
      <protection/>
    </xf>
    <xf numFmtId="164" fontId="0" fillId="2" borderId="0" xfId="0" applyNumberFormat="1" applyFill="1" applyBorder="1" applyAlignment="1" applyProtection="1">
      <alignment horizontal="right"/>
      <protection/>
    </xf>
    <xf numFmtId="165" fontId="0" fillId="2" borderId="1" xfId="0" applyNumberFormat="1" applyFill="1" applyBorder="1" applyAlignment="1" applyProtection="1">
      <alignment horizontal="center"/>
      <protection locked="0"/>
    </xf>
    <xf numFmtId="164" fontId="0" fillId="2" borderId="0" xfId="0" applyNumberFormat="1" applyFill="1" applyBorder="1" applyAlignment="1" applyProtection="1">
      <alignment/>
      <protection/>
    </xf>
    <xf numFmtId="164" fontId="0" fillId="2" borderId="0" xfId="0" applyNumberFormat="1" applyFill="1" applyBorder="1" applyAlignment="1" applyProtection="1">
      <alignment/>
      <protection/>
    </xf>
    <xf numFmtId="165" fontId="0" fillId="0" borderId="0" xfId="0" applyNumberFormat="1" applyAlignment="1" applyProtection="1">
      <alignment/>
      <protection locked="0"/>
    </xf>
    <xf numFmtId="165" fontId="6" fillId="2" borderId="0" xfId="0" applyNumberFormat="1" applyFont="1" applyFill="1" applyBorder="1" applyAlignment="1" applyProtection="1">
      <alignment horizontal="right"/>
      <protection locked="0"/>
    </xf>
    <xf numFmtId="0" fontId="0" fillId="0" borderId="0" xfId="0"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protection/>
    </xf>
    <xf numFmtId="0" fontId="0" fillId="2" borderId="0" xfId="0" applyFill="1" applyAlignment="1" applyProtection="1">
      <alignment/>
      <protection/>
    </xf>
    <xf numFmtId="167" fontId="0" fillId="2" borderId="0" xfId="0" applyNumberFormat="1" applyFill="1" applyBorder="1" applyAlignment="1" applyProtection="1">
      <alignment horizontal="right"/>
      <protection/>
    </xf>
    <xf numFmtId="0" fontId="0" fillId="2" borderId="0" xfId="0" applyFill="1" applyBorder="1" applyAlignment="1" applyProtection="1">
      <alignment/>
      <protection/>
    </xf>
    <xf numFmtId="0" fontId="0" fillId="2" borderId="0" xfId="0" applyFill="1" applyBorder="1" applyAlignment="1" applyProtection="1">
      <alignment horizontal="right"/>
      <protection/>
    </xf>
    <xf numFmtId="0" fontId="0" fillId="4" borderId="0" xfId="0" applyNumberFormat="1" applyFill="1" applyBorder="1" applyAlignment="1" applyProtection="1">
      <alignment/>
      <protection/>
    </xf>
    <xf numFmtId="167" fontId="0" fillId="4" borderId="0" xfId="0" applyNumberFormat="1" applyFill="1" applyBorder="1" applyAlignment="1" applyProtection="1">
      <alignment horizontal="right"/>
      <protection/>
    </xf>
    <xf numFmtId="0" fontId="0" fillId="2" borderId="1" xfId="0" applyFill="1" applyBorder="1" applyAlignment="1" applyProtection="1">
      <alignment horizontal="center"/>
      <protection/>
    </xf>
    <xf numFmtId="0" fontId="0" fillId="2" borderId="0" xfId="0" applyNumberFormat="1" applyFill="1" applyBorder="1" applyAlignment="1" applyProtection="1">
      <alignment/>
      <protection/>
    </xf>
    <xf numFmtId="167" fontId="5" fillId="2" borderId="0" xfId="0" applyNumberFormat="1" applyFont="1" applyFill="1" applyBorder="1" applyAlignment="1" applyProtection="1">
      <alignment horizontal="right"/>
      <protection/>
    </xf>
    <xf numFmtId="0" fontId="0" fillId="2" borderId="0" xfId="0" applyNumberFormat="1" applyFill="1" applyBorder="1" applyAlignment="1" applyProtection="1">
      <alignment horizontal="right"/>
      <protection/>
    </xf>
    <xf numFmtId="0" fontId="0" fillId="2" borderId="0" xfId="0" applyNumberFormat="1" applyFill="1" applyBorder="1" applyAlignment="1" applyProtection="1">
      <alignment/>
      <protection/>
    </xf>
    <xf numFmtId="14" fontId="0" fillId="2" borderId="0" xfId="0" applyNumberFormat="1" applyFill="1" applyBorder="1" applyAlignment="1" applyProtection="1">
      <alignment/>
      <protection/>
    </xf>
    <xf numFmtId="0" fontId="0" fillId="2" borderId="0" xfId="0" applyFill="1" applyAlignment="1">
      <alignment horizontal="right"/>
    </xf>
    <xf numFmtId="0" fontId="0" fillId="2" borderId="3" xfId="0" applyFont="1" applyFill="1" applyBorder="1" applyAlignment="1" applyProtection="1">
      <alignment/>
      <protection/>
    </xf>
    <xf numFmtId="0" fontId="0" fillId="0" borderId="0" xfId="0" applyFont="1" applyAlignment="1" applyProtection="1">
      <alignment/>
      <protection/>
    </xf>
    <xf numFmtId="0" fontId="0" fillId="2" borderId="4" xfId="0" applyFont="1" applyFill="1" applyBorder="1" applyAlignment="1" applyProtection="1">
      <alignment/>
      <protection/>
    </xf>
    <xf numFmtId="0" fontId="0" fillId="2" borderId="5" xfId="0" applyFont="1" applyFill="1" applyBorder="1" applyAlignment="1" applyProtection="1">
      <alignment horizontal="centerContinuous"/>
      <protection/>
    </xf>
    <xf numFmtId="0" fontId="0" fillId="2" borderId="6" xfId="0" applyFont="1" applyFill="1" applyBorder="1" applyAlignment="1" applyProtection="1">
      <alignment horizontal="centerContinuous"/>
      <protection/>
    </xf>
    <xf numFmtId="0" fontId="0" fillId="2" borderId="3" xfId="0" applyFont="1" applyFill="1" applyBorder="1" applyAlignment="1" applyProtection="1">
      <alignment horizontal="centerContinuous"/>
      <protection/>
    </xf>
    <xf numFmtId="0" fontId="0" fillId="2" borderId="7" xfId="0" applyFont="1" applyFill="1" applyBorder="1" applyAlignment="1" applyProtection="1">
      <alignment horizontal="center"/>
      <protection/>
    </xf>
    <xf numFmtId="0" fontId="0" fillId="2" borderId="8" xfId="0" applyFont="1" applyFill="1" applyBorder="1" applyAlignment="1" applyProtection="1">
      <alignment horizontal="right"/>
      <protection/>
    </xf>
    <xf numFmtId="0" fontId="0" fillId="2" borderId="9" xfId="0" applyFont="1" applyFill="1" applyBorder="1" applyAlignment="1" applyProtection="1">
      <alignment horizontal="right"/>
      <protection/>
    </xf>
    <xf numFmtId="0" fontId="0" fillId="2" borderId="10" xfId="0" applyFont="1" applyFill="1" applyBorder="1" applyAlignment="1" applyProtection="1">
      <alignment horizontal="right"/>
      <protection/>
    </xf>
    <xf numFmtId="0" fontId="0" fillId="2" borderId="11" xfId="0" applyFont="1" applyFill="1" applyBorder="1" applyAlignment="1" applyProtection="1">
      <alignment horizontal="center"/>
      <protection/>
    </xf>
    <xf numFmtId="0" fontId="0" fillId="2" borderId="12" xfId="0" applyFont="1" applyFill="1" applyBorder="1" applyAlignment="1" applyProtection="1">
      <alignment horizontal="right"/>
      <protection/>
    </xf>
    <xf numFmtId="0" fontId="0" fillId="2" borderId="13" xfId="0" applyFont="1" applyFill="1" applyBorder="1" applyAlignment="1" applyProtection="1">
      <alignment horizontal="right"/>
      <protection/>
    </xf>
    <xf numFmtId="0" fontId="0" fillId="2" borderId="14" xfId="0" applyFont="1" applyFill="1" applyBorder="1" applyAlignment="1" applyProtection="1">
      <alignment horizontal="right"/>
      <protection/>
    </xf>
    <xf numFmtId="0" fontId="0" fillId="2" borderId="11" xfId="0" applyFont="1" applyFill="1" applyBorder="1" applyAlignment="1" applyProtection="1">
      <alignment/>
      <protection/>
    </xf>
    <xf numFmtId="0" fontId="0" fillId="2" borderId="4" xfId="0" applyFont="1" applyFill="1" applyBorder="1" applyAlignment="1" applyProtection="1">
      <alignment horizontal="center"/>
      <protection/>
    </xf>
    <xf numFmtId="0" fontId="0" fillId="2" borderId="9" xfId="0" applyFont="1" applyFill="1" applyBorder="1" applyAlignment="1" applyProtection="1">
      <alignment/>
      <protection/>
    </xf>
    <xf numFmtId="0" fontId="0" fillId="2" borderId="10" xfId="0" applyFont="1" applyFill="1" applyBorder="1" applyAlignment="1" applyProtection="1">
      <alignment/>
      <protection/>
    </xf>
    <xf numFmtId="167" fontId="0" fillId="2" borderId="12" xfId="0" applyNumberFormat="1" applyFont="1" applyFill="1" applyBorder="1" applyAlignment="1" applyProtection="1">
      <alignment/>
      <protection/>
    </xf>
    <xf numFmtId="0" fontId="0" fillId="2" borderId="13" xfId="0" applyFont="1" applyFill="1" applyBorder="1" applyAlignment="1" applyProtection="1">
      <alignment/>
      <protection/>
    </xf>
    <xf numFmtId="0" fontId="0" fillId="2" borderId="14" xfId="0" applyFont="1" applyFill="1" applyBorder="1" applyAlignment="1" applyProtection="1">
      <alignment/>
      <protection/>
    </xf>
    <xf numFmtId="0" fontId="0" fillId="0" borderId="0" xfId="0" applyFont="1" applyAlignment="1" applyProtection="1">
      <alignment horizontal="right"/>
      <protection/>
    </xf>
    <xf numFmtId="167" fontId="14" fillId="3" borderId="1" xfId="146" applyNumberFormat="1" applyBorder="1">
      <alignment horizontal="right"/>
      <protection/>
    </xf>
    <xf numFmtId="165" fontId="14" fillId="3" borderId="1" xfId="146" applyNumberFormat="1" applyBorder="1">
      <alignment horizontal="right"/>
      <protection/>
    </xf>
    <xf numFmtId="0" fontId="5" fillId="2" borderId="15" xfId="0" applyFont="1" applyFill="1" applyBorder="1" applyAlignment="1" applyProtection="1">
      <alignment horizontal="center" wrapText="1"/>
      <protection/>
    </xf>
    <xf numFmtId="0" fontId="5" fillId="2" borderId="15" xfId="0" applyFont="1" applyFill="1" applyBorder="1" applyAlignment="1" applyProtection="1">
      <alignment horizontal="left" wrapText="1"/>
      <protection/>
    </xf>
    <xf numFmtId="0" fontId="7" fillId="2" borderId="1" xfId="0" applyFont="1" applyFill="1" applyBorder="1" applyAlignment="1" applyProtection="1">
      <alignment horizontal="center" wrapText="1"/>
      <protection/>
    </xf>
    <xf numFmtId="0" fontId="0" fillId="0" borderId="0" xfId="0" applyFont="1" applyBorder="1" applyAlignment="1" applyProtection="1">
      <alignment/>
      <protection/>
    </xf>
    <xf numFmtId="0" fontId="3" fillId="2" borderId="0" xfId="0" applyFont="1" applyFill="1" applyBorder="1" applyAlignment="1" applyProtection="1">
      <alignment horizontal="centerContinuous"/>
      <protection/>
    </xf>
    <xf numFmtId="0" fontId="8" fillId="3" borderId="0" xfId="0" applyFont="1" applyFill="1" applyBorder="1" applyAlignment="1" applyProtection="1">
      <alignment horizontal="right"/>
      <protection/>
    </xf>
    <xf numFmtId="165" fontId="19" fillId="3" borderId="16" xfId="149" applyNumberFormat="1" applyFill="1" applyBorder="1">
      <alignment horizontal="right"/>
      <protection/>
    </xf>
    <xf numFmtId="165" fontId="19" fillId="3" borderId="17" xfId="149" applyNumberFormat="1" applyFill="1" applyBorder="1">
      <alignment horizontal="right"/>
      <protection/>
    </xf>
    <xf numFmtId="165" fontId="19" fillId="3" borderId="18" xfId="149" applyNumberFormat="1" applyFill="1" applyBorder="1">
      <alignment horizontal="right"/>
      <protection/>
    </xf>
    <xf numFmtId="165" fontId="19" fillId="3" borderId="19" xfId="149" applyNumberFormat="1" applyFill="1" applyBorder="1">
      <alignment horizontal="right"/>
      <protection/>
    </xf>
    <xf numFmtId="165" fontId="19" fillId="3" borderId="1" xfId="149" applyNumberFormat="1" applyFill="1" applyBorder="1">
      <alignment horizontal="right"/>
      <protection/>
    </xf>
    <xf numFmtId="165" fontId="19" fillId="3" borderId="20" xfId="149" applyNumberFormat="1" applyFill="1" applyBorder="1">
      <alignment horizontal="right"/>
      <protection/>
    </xf>
    <xf numFmtId="165" fontId="19" fillId="3" borderId="21" xfId="149" applyNumberFormat="1" applyFill="1" applyBorder="1">
      <alignment horizontal="right"/>
      <protection/>
    </xf>
    <xf numFmtId="165" fontId="19" fillId="3" borderId="22" xfId="149" applyNumberFormat="1" applyFill="1" applyBorder="1">
      <alignment horizontal="right"/>
      <protection/>
    </xf>
    <xf numFmtId="165" fontId="19" fillId="3" borderId="23" xfId="149" applyNumberFormat="1" applyFill="1" applyBorder="1">
      <alignment horizontal="right"/>
      <protection/>
    </xf>
    <xf numFmtId="165" fontId="20" fillId="0" borderId="0" xfId="142" applyNumberFormat="1" applyFont="1" applyProtection="1">
      <alignment horizontal="right"/>
      <protection locked="0"/>
    </xf>
    <xf numFmtId="0" fontId="0" fillId="2" borderId="0" xfId="0" applyFill="1" applyBorder="1" applyAlignment="1" applyProtection="1">
      <alignment horizontal="centerContinuous"/>
      <protection/>
    </xf>
    <xf numFmtId="0" fontId="0" fillId="2" borderId="5" xfId="0" applyFill="1" applyBorder="1" applyAlignment="1" applyProtection="1">
      <alignment horizontal="centerContinuous"/>
      <protection/>
    </xf>
    <xf numFmtId="49" fontId="0" fillId="2" borderId="6" xfId="0" applyNumberFormat="1" applyFill="1" applyBorder="1" applyAlignment="1" applyProtection="1">
      <alignment horizontal="centerContinuous"/>
      <protection/>
    </xf>
    <xf numFmtId="49" fontId="0" fillId="2" borderId="3" xfId="0" applyNumberFormat="1" applyFill="1" applyBorder="1" applyAlignment="1" applyProtection="1">
      <alignment horizontal="centerContinuous"/>
      <protection/>
    </xf>
    <xf numFmtId="0" fontId="0" fillId="2" borderId="5" xfId="0" applyFill="1" applyBorder="1" applyAlignment="1" applyProtection="1">
      <alignment horizontal="centerContinuous"/>
      <protection locked="0"/>
    </xf>
    <xf numFmtId="0" fontId="0" fillId="2" borderId="3" xfId="0" applyFill="1" applyBorder="1" applyAlignment="1">
      <alignment horizontal="centerContinuous"/>
    </xf>
    <xf numFmtId="0" fontId="21" fillId="2" borderId="15" xfId="0" applyFont="1" applyFill="1" applyBorder="1" applyAlignment="1" applyProtection="1">
      <alignment horizontal="center"/>
      <protection/>
    </xf>
    <xf numFmtId="0" fontId="0" fillId="2" borderId="5" xfId="0" applyFill="1" applyBorder="1" applyAlignment="1">
      <alignment horizontal="centerContinuous"/>
    </xf>
    <xf numFmtId="49" fontId="0" fillId="2" borderId="6" xfId="0" applyNumberFormat="1" applyFill="1" applyBorder="1" applyAlignment="1" applyProtection="1">
      <alignment horizontal="centerContinuous"/>
      <protection locked="0"/>
    </xf>
    <xf numFmtId="49" fontId="0" fillId="2" borderId="3" xfId="0" applyNumberFormat="1" applyFill="1" applyBorder="1" applyAlignment="1" applyProtection="1">
      <alignment horizontal="centerContinuous"/>
      <protection locked="0"/>
    </xf>
    <xf numFmtId="165" fontId="15" fillId="2" borderId="0" xfId="143" applyFill="1" applyBorder="1" applyAlignment="1" applyProtection="1">
      <alignment horizontal="left"/>
      <protection/>
    </xf>
    <xf numFmtId="0" fontId="0" fillId="3" borderId="0" xfId="0" applyFill="1" applyBorder="1" applyAlignment="1">
      <alignment/>
    </xf>
    <xf numFmtId="0" fontId="0" fillId="0" borderId="0" xfId="0" applyFill="1" applyAlignment="1">
      <alignment/>
    </xf>
    <xf numFmtId="0" fontId="0" fillId="2" borderId="1" xfId="0" applyFill="1" applyBorder="1" applyAlignment="1">
      <alignment/>
    </xf>
    <xf numFmtId="0" fontId="0" fillId="2" borderId="1" xfId="0" applyFill="1" applyBorder="1" applyAlignment="1">
      <alignment horizontal="centerContinuous"/>
    </xf>
    <xf numFmtId="0" fontId="0" fillId="2" borderId="1" xfId="0" applyFill="1" applyBorder="1" applyAlignment="1">
      <alignment horizontal="center"/>
    </xf>
    <xf numFmtId="0" fontId="0" fillId="2" borderId="6" xfId="0" applyFill="1" applyBorder="1" applyAlignment="1">
      <alignment horizontal="centerContinuous"/>
    </xf>
    <xf numFmtId="0" fontId="5" fillId="0" borderId="0" xfId="0" applyFont="1" applyFill="1" applyBorder="1" applyAlignment="1" applyProtection="1">
      <alignment/>
      <protection/>
    </xf>
    <xf numFmtId="167" fontId="0" fillId="2" borderId="0" xfId="0" applyNumberFormat="1" applyFill="1" applyBorder="1" applyAlignment="1" applyProtection="1">
      <alignment/>
      <protection/>
    </xf>
    <xf numFmtId="0" fontId="0" fillId="2" borderId="5" xfId="0" applyFill="1" applyBorder="1" applyAlignment="1" applyProtection="1">
      <alignment/>
      <protection/>
    </xf>
    <xf numFmtId="165" fontId="19" fillId="3" borderId="24" xfId="149" applyNumberFormat="1" applyBorder="1" applyProtection="1">
      <alignment horizontal="right"/>
      <protection/>
    </xf>
    <xf numFmtId="165" fontId="19" fillId="3" borderId="0" xfId="149" applyNumberFormat="1" applyBorder="1" applyProtection="1">
      <alignment horizontal="right"/>
      <protection/>
    </xf>
    <xf numFmtId="165" fontId="19" fillId="3" borderId="25" xfId="149" applyNumberFormat="1" applyBorder="1" applyProtection="1">
      <alignment horizontal="right"/>
      <protection/>
    </xf>
    <xf numFmtId="165" fontId="19" fillId="3" borderId="24" xfId="149" applyNumberFormat="1" applyFont="1" applyBorder="1" applyProtection="1">
      <alignment horizontal="right"/>
      <protection/>
    </xf>
    <xf numFmtId="165" fontId="19" fillId="3" borderId="7" xfId="149" applyNumberFormat="1" applyBorder="1" applyProtection="1">
      <alignment horizontal="right"/>
      <protection/>
    </xf>
    <xf numFmtId="165" fontId="19" fillId="3" borderId="12" xfId="149" applyNumberFormat="1" applyBorder="1" applyProtection="1">
      <alignment horizontal="right"/>
      <protection/>
    </xf>
    <xf numFmtId="165" fontId="19" fillId="3" borderId="13" xfId="149" applyNumberFormat="1" applyBorder="1" applyProtection="1">
      <alignment horizontal="right"/>
      <protection/>
    </xf>
    <xf numFmtId="165" fontId="19" fillId="3" borderId="14" xfId="149" applyNumberFormat="1" applyBorder="1" applyProtection="1">
      <alignment horizontal="right"/>
      <protection/>
    </xf>
    <xf numFmtId="165" fontId="19" fillId="3" borderId="12" xfId="149" applyNumberFormat="1" applyFont="1" applyBorder="1" applyProtection="1">
      <alignment horizontal="right"/>
      <protection/>
    </xf>
    <xf numFmtId="167" fontId="19" fillId="3" borderId="0" xfId="149" applyNumberFormat="1" applyBorder="1" applyProtection="1">
      <alignment horizontal="right"/>
      <protection/>
    </xf>
    <xf numFmtId="167" fontId="19" fillId="3" borderId="13" xfId="149" applyNumberFormat="1" applyBorder="1" applyProtection="1">
      <alignment horizontal="right"/>
      <protection/>
    </xf>
    <xf numFmtId="0" fontId="0" fillId="5" borderId="0" xfId="0" applyFill="1" applyBorder="1" applyAlignment="1">
      <alignment/>
    </xf>
    <xf numFmtId="0" fontId="4" fillId="2" borderId="0" xfId="0" applyFont="1" applyFill="1" applyBorder="1" applyAlignment="1">
      <alignment horizontal="center"/>
    </xf>
    <xf numFmtId="0" fontId="5" fillId="0" borderId="0" xfId="0" applyFont="1" applyFill="1" applyBorder="1" applyAlignment="1" applyProtection="1">
      <alignment/>
      <protection/>
    </xf>
    <xf numFmtId="0" fontId="0" fillId="3" borderId="26" xfId="0" applyFill="1" applyBorder="1" applyAlignment="1">
      <alignment/>
    </xf>
    <xf numFmtId="0" fontId="8" fillId="3" borderId="26" xfId="0" applyFont="1" applyFill="1" applyBorder="1" applyAlignment="1" applyProtection="1">
      <alignment horizontal="right"/>
      <protection/>
    </xf>
    <xf numFmtId="0" fontId="0" fillId="3" borderId="27" xfId="0" applyFill="1" applyBorder="1" applyAlignment="1">
      <alignment/>
    </xf>
    <xf numFmtId="0" fontId="0" fillId="3" borderId="28" xfId="0" applyFill="1" applyBorder="1" applyAlignment="1">
      <alignment/>
    </xf>
    <xf numFmtId="0" fontId="0" fillId="0" borderId="0" xfId="0" applyFill="1" applyBorder="1" applyAlignment="1">
      <alignment/>
    </xf>
    <xf numFmtId="167" fontId="14" fillId="3" borderId="1" xfId="147" applyNumberFormat="1">
      <alignment horizontal="right"/>
      <protection/>
    </xf>
    <xf numFmtId="0" fontId="5" fillId="0" borderId="0" xfId="0" applyFont="1" applyFill="1" applyAlignment="1" applyProtection="1">
      <alignment/>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wrapText="1"/>
      <protection/>
    </xf>
    <xf numFmtId="0" fontId="13" fillId="0" borderId="0" xfId="0" applyFont="1" applyFill="1" applyAlignment="1" applyProtection="1">
      <alignment/>
      <protection/>
    </xf>
    <xf numFmtId="0" fontId="13" fillId="0" borderId="0" xfId="0" applyFont="1" applyFill="1" applyBorder="1" applyAlignment="1" applyProtection="1">
      <alignment/>
      <protection/>
    </xf>
    <xf numFmtId="0" fontId="13" fillId="0" borderId="0" xfId="0" applyFont="1" applyFill="1" applyAlignment="1" applyProtection="1">
      <alignment horizontal="center"/>
      <protection/>
    </xf>
    <xf numFmtId="165" fontId="19" fillId="0" borderId="0" xfId="149" applyNumberFormat="1" applyFill="1" applyBorder="1">
      <alignment horizontal="right"/>
      <protection/>
    </xf>
    <xf numFmtId="0" fontId="8" fillId="0" borderId="0" xfId="0" applyFont="1" applyFill="1" applyAlignment="1" applyProtection="1">
      <alignment/>
      <protection/>
    </xf>
    <xf numFmtId="0" fontId="0" fillId="3" borderId="29" xfId="0" applyFill="1" applyBorder="1" applyAlignment="1">
      <alignment/>
    </xf>
    <xf numFmtId="0" fontId="8" fillId="3" borderId="28" xfId="0" applyFont="1" applyFill="1" applyBorder="1" applyAlignment="1" applyProtection="1">
      <alignment horizontal="right" vertical="top"/>
      <protection/>
    </xf>
    <xf numFmtId="0" fontId="0" fillId="0" borderId="0" xfId="0" applyFont="1" applyFill="1" applyBorder="1" applyAlignment="1" applyProtection="1">
      <alignment/>
      <protection/>
    </xf>
    <xf numFmtId="49" fontId="0" fillId="0" borderId="0" xfId="0" applyNumberFormat="1" applyFill="1" applyAlignment="1">
      <alignment/>
    </xf>
    <xf numFmtId="0" fontId="5" fillId="0" borderId="0" xfId="0" applyFont="1" applyFill="1" applyBorder="1" applyAlignment="1" applyProtection="1">
      <alignment horizontal="left" wrapText="1"/>
      <protection/>
    </xf>
    <xf numFmtId="0" fontId="5" fillId="0" borderId="0" xfId="0" applyFont="1" applyFill="1" applyBorder="1" applyAlignment="1" applyProtection="1">
      <alignment horizontal="center" wrapText="1"/>
      <protection/>
    </xf>
    <xf numFmtId="0" fontId="21" fillId="0" borderId="0" xfId="0" applyFont="1" applyFill="1" applyBorder="1" applyAlignment="1" applyProtection="1">
      <alignment horizontal="center"/>
      <protection/>
    </xf>
    <xf numFmtId="0" fontId="5" fillId="2" borderId="30" xfId="0" applyFont="1" applyFill="1" applyBorder="1" applyAlignment="1" applyProtection="1">
      <alignment horizontal="center" wrapText="1"/>
      <protection/>
    </xf>
    <xf numFmtId="0" fontId="5" fillId="2" borderId="31" xfId="0" applyFont="1" applyFill="1" applyBorder="1" applyAlignment="1" applyProtection="1">
      <alignment horizontal="left" wrapText="1"/>
      <protection/>
    </xf>
    <xf numFmtId="0" fontId="5" fillId="2" borderId="32" xfId="0" applyFont="1" applyFill="1" applyBorder="1" applyAlignment="1" applyProtection="1">
      <alignment horizontal="left" wrapText="1"/>
      <protection/>
    </xf>
    <xf numFmtId="0" fontId="21" fillId="2" borderId="33" xfId="0" applyFont="1" applyFill="1" applyBorder="1" applyAlignment="1" applyProtection="1">
      <alignment horizontal="center"/>
      <protection/>
    </xf>
    <xf numFmtId="165" fontId="19" fillId="3" borderId="1" xfId="149" applyNumberFormat="1" applyBorder="1">
      <alignment horizontal="right"/>
      <protection/>
    </xf>
    <xf numFmtId="165" fontId="19" fillId="3" borderId="17" xfId="149" applyNumberFormat="1" applyBorder="1">
      <alignment horizontal="right"/>
      <protection/>
    </xf>
    <xf numFmtId="165" fontId="19" fillId="3" borderId="22" xfId="149" applyNumberFormat="1" applyBorder="1">
      <alignment horizontal="right"/>
      <protection/>
    </xf>
    <xf numFmtId="1" fontId="19" fillId="0" borderId="0" xfId="149" applyNumberFormat="1" applyFill="1" applyBorder="1">
      <alignment horizontal="right"/>
      <protection/>
    </xf>
    <xf numFmtId="165" fontId="5" fillId="0" borderId="0" xfId="0" applyNumberFormat="1" applyFont="1" applyFill="1" applyBorder="1" applyAlignment="1" applyProtection="1">
      <alignment horizontal="right" wrapText="1"/>
      <protection/>
    </xf>
    <xf numFmtId="0" fontId="5" fillId="2" borderId="15" xfId="0" applyFont="1" applyFill="1" applyBorder="1" applyAlignment="1" applyProtection="1">
      <alignment horizontal="center"/>
      <protection/>
    </xf>
    <xf numFmtId="0" fontId="21" fillId="2" borderId="34" xfId="0" applyFont="1" applyFill="1" applyBorder="1" applyAlignment="1" applyProtection="1">
      <alignment horizontal="center"/>
      <protection/>
    </xf>
    <xf numFmtId="0" fontId="21" fillId="2" borderId="35" xfId="0" applyFont="1" applyFill="1" applyBorder="1" applyAlignment="1" applyProtection="1">
      <alignment horizontal="center"/>
      <protection/>
    </xf>
    <xf numFmtId="165" fontId="19" fillId="3" borderId="1" xfId="149" applyNumberFormat="1" applyFill="1" applyBorder="1" applyProtection="1">
      <alignment horizontal="right"/>
      <protection locked="0"/>
    </xf>
    <xf numFmtId="0" fontId="13" fillId="2" borderId="1" xfId="0" applyFont="1" applyFill="1" applyBorder="1" applyAlignment="1" applyProtection="1">
      <alignment/>
      <protection locked="0"/>
    </xf>
    <xf numFmtId="0" fontId="13" fillId="2" borderId="1" xfId="0" applyFont="1" applyFill="1" applyBorder="1" applyAlignment="1" applyProtection="1">
      <alignment wrapText="1"/>
      <protection locked="0"/>
    </xf>
    <xf numFmtId="0" fontId="28" fillId="2" borderId="1" xfId="0" applyFont="1" applyFill="1" applyBorder="1" applyAlignment="1" applyProtection="1">
      <alignment wrapText="1"/>
      <protection locked="0"/>
    </xf>
    <xf numFmtId="165" fontId="19" fillId="3" borderId="1" xfId="146" applyNumberFormat="1" applyFont="1" applyBorder="1" applyProtection="1">
      <alignment horizontal="right"/>
      <protection locked="0"/>
    </xf>
    <xf numFmtId="0" fontId="5" fillId="2" borderId="5" xfId="150" applyFont="1" applyFill="1" applyBorder="1" applyAlignment="1">
      <alignment horizontal="centerContinuous"/>
      <protection/>
    </xf>
    <xf numFmtId="0" fontId="5" fillId="2" borderId="6" xfId="150" applyFont="1" applyFill="1" applyBorder="1" applyAlignment="1">
      <alignment horizontal="centerContinuous"/>
      <protection/>
    </xf>
    <xf numFmtId="0" fontId="5" fillId="2" borderId="3" xfId="150" applyFont="1" applyFill="1" applyBorder="1" applyAlignment="1">
      <alignment horizontal="centerContinuous"/>
      <protection/>
    </xf>
    <xf numFmtId="0" fontId="0" fillId="5" borderId="29" xfId="0" applyFill="1" applyBorder="1" applyAlignment="1">
      <alignment/>
    </xf>
    <xf numFmtId="0" fontId="0" fillId="5" borderId="26" xfId="0" applyFill="1" applyBorder="1" applyAlignment="1">
      <alignment/>
    </xf>
    <xf numFmtId="0" fontId="0" fillId="5" borderId="36" xfId="0" applyFill="1" applyBorder="1" applyAlignment="1">
      <alignment/>
    </xf>
    <xf numFmtId="0" fontId="0" fillId="5" borderId="27" xfId="0" applyFill="1" applyBorder="1" applyAlignment="1">
      <alignment/>
    </xf>
    <xf numFmtId="0" fontId="0" fillId="5" borderId="37" xfId="0" applyFill="1" applyBorder="1" applyAlignment="1">
      <alignment/>
    </xf>
    <xf numFmtId="0" fontId="0" fillId="5" borderId="38" xfId="0" applyFill="1" applyBorder="1" applyAlignment="1">
      <alignment/>
    </xf>
    <xf numFmtId="0" fontId="0" fillId="5" borderId="28" xfId="0" applyFill="1" applyBorder="1" applyAlignment="1">
      <alignment/>
    </xf>
    <xf numFmtId="0" fontId="0" fillId="5" borderId="39" xfId="0" applyFill="1" applyBorder="1" applyAlignment="1">
      <alignment/>
    </xf>
    <xf numFmtId="0" fontId="5" fillId="0" borderId="0" xfId="151" applyAlignment="1" applyProtection="1">
      <alignment/>
      <protection/>
    </xf>
    <xf numFmtId="167" fontId="0" fillId="2" borderId="1" xfId="0" applyNumberFormat="1" applyFill="1" applyBorder="1" applyAlignment="1">
      <alignment/>
    </xf>
    <xf numFmtId="167" fontId="0" fillId="2" borderId="1" xfId="0" applyNumberFormat="1" applyFill="1" applyBorder="1" applyAlignment="1" applyProtection="1">
      <alignment/>
      <protection locked="0"/>
    </xf>
    <xf numFmtId="1" fontId="0" fillId="2" borderId="1" xfId="0" applyNumberFormat="1" applyFill="1" applyBorder="1" applyAlignment="1">
      <alignment/>
    </xf>
    <xf numFmtId="1" fontId="0" fillId="2" borderId="1" xfId="0" applyNumberFormat="1" applyFill="1" applyBorder="1" applyAlignment="1" applyProtection="1">
      <alignment/>
      <protection locked="0"/>
    </xf>
    <xf numFmtId="0" fontId="0" fillId="2" borderId="1" xfId="0" applyFill="1" applyBorder="1" applyAlignment="1">
      <alignment wrapText="1"/>
    </xf>
    <xf numFmtId="1" fontId="19" fillId="3" borderId="1" xfId="149" applyNumberFormat="1" applyBorder="1">
      <alignment horizontal="right"/>
      <protection/>
    </xf>
    <xf numFmtId="1" fontId="19" fillId="3" borderId="17" xfId="149" applyNumberFormat="1" applyBorder="1">
      <alignment horizontal="right"/>
      <protection/>
    </xf>
    <xf numFmtId="1" fontId="19" fillId="3" borderId="22" xfId="149" applyNumberFormat="1" applyBorder="1">
      <alignment horizontal="right"/>
      <protection/>
    </xf>
    <xf numFmtId="0" fontId="0" fillId="2" borderId="37" xfId="0" applyFill="1" applyBorder="1" applyAlignment="1">
      <alignment/>
    </xf>
    <xf numFmtId="0" fontId="0" fillId="2" borderId="27" xfId="0" applyFill="1" applyBorder="1" applyAlignment="1" applyProtection="1">
      <alignment horizontal="right"/>
      <protection/>
    </xf>
    <xf numFmtId="0" fontId="0" fillId="2" borderId="27" xfId="0" applyFill="1" applyBorder="1" applyAlignment="1">
      <alignment/>
    </xf>
    <xf numFmtId="0" fontId="0" fillId="2" borderId="38" xfId="0" applyFill="1" applyBorder="1" applyAlignment="1">
      <alignment/>
    </xf>
    <xf numFmtId="0" fontId="0" fillId="2" borderId="28" xfId="0" applyFill="1" applyBorder="1" applyAlignment="1">
      <alignment/>
    </xf>
    <xf numFmtId="0" fontId="0" fillId="2" borderId="39" xfId="0" applyFill="1" applyBorder="1" applyAlignment="1">
      <alignment/>
    </xf>
    <xf numFmtId="0" fontId="0" fillId="0" borderId="0" xfId="0" applyFill="1" applyAlignment="1" applyProtection="1">
      <alignment/>
      <protection/>
    </xf>
    <xf numFmtId="0" fontId="0" fillId="0" borderId="0" xfId="0" applyFont="1" applyFill="1" applyAlignment="1" applyProtection="1">
      <alignment/>
      <protection/>
    </xf>
    <xf numFmtId="0" fontId="19" fillId="3" borderId="7" xfId="149" applyBorder="1">
      <alignment horizontal="right"/>
      <protection/>
    </xf>
    <xf numFmtId="0" fontId="19" fillId="3" borderId="11" xfId="149" applyBorder="1">
      <alignment horizontal="right"/>
      <protection/>
    </xf>
    <xf numFmtId="165" fontId="15" fillId="2" borderId="0" xfId="143" applyFill="1" applyBorder="1" applyProtection="1">
      <alignment horizontal="right"/>
      <protection/>
    </xf>
    <xf numFmtId="0" fontId="13" fillId="6" borderId="40" xfId="0" applyFont="1" applyFill="1" applyBorder="1" applyAlignment="1">
      <alignment horizontal="centerContinuous"/>
    </xf>
    <xf numFmtId="0" fontId="5" fillId="6" borderId="41" xfId="0" applyFont="1" applyFill="1" applyBorder="1" applyAlignment="1">
      <alignment horizontal="centerContinuous"/>
    </xf>
    <xf numFmtId="0" fontId="5" fillId="6" borderId="42" xfId="0" applyFont="1" applyFill="1" applyBorder="1" applyAlignment="1">
      <alignment horizontal="centerContinuous"/>
    </xf>
    <xf numFmtId="0" fontId="3" fillId="2" borderId="5" xfId="0" applyFont="1" applyFill="1" applyBorder="1" applyAlignment="1" applyProtection="1">
      <alignment horizontal="centerContinuous"/>
      <protection/>
    </xf>
    <xf numFmtId="0" fontId="0" fillId="2" borderId="6" xfId="0" applyFill="1" applyBorder="1" applyAlignment="1" applyProtection="1">
      <alignment horizontal="centerContinuous"/>
      <protection/>
    </xf>
    <xf numFmtId="0" fontId="0" fillId="2" borderId="3" xfId="0" applyFill="1" applyBorder="1" applyAlignment="1" applyProtection="1">
      <alignment horizontal="centerContinuous"/>
      <protection/>
    </xf>
    <xf numFmtId="165" fontId="19" fillId="3" borderId="18" xfId="149" applyNumberFormat="1" applyBorder="1">
      <alignment horizontal="right"/>
      <protection/>
    </xf>
    <xf numFmtId="165" fontId="19" fillId="3" borderId="20" xfId="149" applyNumberFormat="1" applyBorder="1">
      <alignment horizontal="right"/>
      <protection/>
    </xf>
    <xf numFmtId="165" fontId="19" fillId="3" borderId="23" xfId="149" applyNumberFormat="1" applyBorder="1">
      <alignment horizontal="right"/>
      <protection/>
    </xf>
    <xf numFmtId="165" fontId="5" fillId="7" borderId="17" xfId="142" applyNumberFormat="1" applyFont="1" applyFill="1" applyBorder="1" applyAlignment="1" applyProtection="1">
      <alignment horizontal="centerContinuous"/>
      <protection/>
    </xf>
    <xf numFmtId="0" fontId="5" fillId="7" borderId="17" xfId="0" applyFont="1" applyFill="1" applyBorder="1" applyAlignment="1" applyProtection="1">
      <alignment horizontal="centerContinuous"/>
      <protection/>
    </xf>
    <xf numFmtId="0" fontId="5" fillId="7" borderId="18" xfId="0" applyFont="1" applyFill="1" applyBorder="1" applyAlignment="1" applyProtection="1">
      <alignment horizontal="centerContinuous"/>
      <protection/>
    </xf>
    <xf numFmtId="0" fontId="5" fillId="7" borderId="38" xfId="0" applyFont="1" applyFill="1" applyBorder="1" applyAlignment="1" applyProtection="1">
      <alignment wrapText="1"/>
      <protection/>
    </xf>
    <xf numFmtId="49" fontId="5" fillId="7" borderId="4" xfId="0" applyNumberFormat="1" applyFont="1" applyFill="1" applyBorder="1" applyAlignment="1" applyProtection="1">
      <alignment horizontal="right"/>
      <protection/>
    </xf>
    <xf numFmtId="0" fontId="5" fillId="7" borderId="7" xfId="0" applyFont="1" applyFill="1" applyBorder="1" applyAlignment="1" applyProtection="1">
      <alignment/>
      <protection/>
    </xf>
    <xf numFmtId="0" fontId="5" fillId="7" borderId="11" xfId="0" applyFont="1" applyFill="1" applyBorder="1" applyAlignment="1" applyProtection="1">
      <alignment/>
      <protection/>
    </xf>
    <xf numFmtId="0" fontId="5" fillId="7" borderId="0" xfId="0" applyFont="1" applyFill="1" applyAlignment="1" applyProtection="1">
      <alignment/>
      <protection/>
    </xf>
    <xf numFmtId="0" fontId="0" fillId="7" borderId="41" xfId="0" applyFill="1" applyBorder="1" applyAlignment="1" applyProtection="1">
      <alignment horizontal="centerContinuous"/>
      <protection/>
    </xf>
    <xf numFmtId="0" fontId="0" fillId="7" borderId="42" xfId="0" applyFill="1" applyBorder="1" applyAlignment="1">
      <alignment horizontal="centerContinuous"/>
    </xf>
    <xf numFmtId="0" fontId="5" fillId="7" borderId="41" xfId="0" applyFont="1" applyFill="1" applyBorder="1" applyAlignment="1" applyProtection="1">
      <alignment horizontal="right"/>
      <protection locked="0"/>
    </xf>
    <xf numFmtId="0" fontId="5" fillId="7" borderId="41" xfId="0" applyFont="1" applyFill="1" applyBorder="1" applyAlignment="1" applyProtection="1">
      <alignment/>
      <protection locked="0"/>
    </xf>
    <xf numFmtId="0" fontId="5" fillId="7" borderId="41" xfId="0" applyFont="1" applyFill="1" applyBorder="1" applyAlignment="1" applyProtection="1">
      <alignment/>
      <protection locked="0"/>
    </xf>
    <xf numFmtId="0" fontId="5" fillId="7" borderId="41" xfId="0" applyFont="1" applyFill="1" applyBorder="1" applyAlignment="1" applyProtection="1">
      <alignment/>
      <protection/>
    </xf>
    <xf numFmtId="0" fontId="5" fillId="7" borderId="42" xfId="0" applyFont="1" applyFill="1" applyBorder="1" applyAlignment="1" applyProtection="1">
      <alignment/>
      <protection/>
    </xf>
    <xf numFmtId="0" fontId="5" fillId="7" borderId="40" xfId="0" applyFont="1" applyFill="1" applyBorder="1" applyAlignment="1">
      <alignment vertical="center"/>
    </xf>
    <xf numFmtId="49" fontId="9" fillId="7" borderId="41" xfId="0" applyNumberFormat="1" applyFont="1" applyFill="1" applyBorder="1" applyAlignment="1" applyProtection="1">
      <alignment horizontal="left" vertical="center"/>
      <protection/>
    </xf>
    <xf numFmtId="0" fontId="0" fillId="7" borderId="41" xfId="0" applyFill="1" applyBorder="1" applyAlignment="1" applyProtection="1">
      <alignment horizontal="right" vertical="center"/>
      <protection/>
    </xf>
    <xf numFmtId="0" fontId="0" fillId="7" borderId="41" xfId="0" applyFill="1" applyBorder="1" applyAlignment="1" applyProtection="1">
      <alignment vertical="center"/>
      <protection/>
    </xf>
    <xf numFmtId="0" fontId="0" fillId="7" borderId="42" xfId="0" applyFill="1" applyBorder="1" applyAlignment="1" applyProtection="1">
      <alignment vertical="center"/>
      <protection/>
    </xf>
    <xf numFmtId="49" fontId="8" fillId="7" borderId="40" xfId="0" applyNumberFormat="1" applyFont="1" applyFill="1" applyBorder="1" applyAlignment="1" applyProtection="1">
      <alignment horizontal="centerContinuous" vertical="center"/>
      <protection/>
    </xf>
    <xf numFmtId="0" fontId="30" fillId="7" borderId="41" xfId="0" applyFont="1" applyFill="1" applyBorder="1" applyAlignment="1" applyProtection="1">
      <alignment horizontal="centerContinuous"/>
      <protection/>
    </xf>
    <xf numFmtId="0" fontId="30" fillId="7" borderId="42" xfId="0" applyFont="1" applyFill="1" applyBorder="1" applyAlignment="1" applyProtection="1">
      <alignment horizontal="centerContinuous"/>
      <protection/>
    </xf>
    <xf numFmtId="49" fontId="8" fillId="0" borderId="0" xfId="0" applyNumberFormat="1" applyFont="1" applyFill="1" applyBorder="1" applyAlignment="1" applyProtection="1">
      <alignment/>
      <protection/>
    </xf>
    <xf numFmtId="0" fontId="0" fillId="7" borderId="40" xfId="0" applyFill="1" applyBorder="1" applyAlignment="1" applyProtection="1">
      <alignment/>
      <protection/>
    </xf>
    <xf numFmtId="167" fontId="14" fillId="3" borderId="1" xfId="146" applyNumberFormat="1" applyBorder="1" applyProtection="1">
      <alignment horizontal="right"/>
      <protection/>
    </xf>
    <xf numFmtId="173" fontId="14" fillId="3" borderId="1" xfId="146" applyNumberFormat="1" applyBorder="1" applyProtection="1">
      <alignment horizontal="right"/>
      <protection/>
    </xf>
    <xf numFmtId="167" fontId="0" fillId="0" borderId="0" xfId="0" applyNumberFormat="1" applyAlignment="1">
      <alignment/>
    </xf>
    <xf numFmtId="1" fontId="14" fillId="2" borderId="0" xfId="146" applyNumberFormat="1" applyFill="1" applyBorder="1" applyProtection="1">
      <alignment horizontal="right"/>
      <protection/>
    </xf>
    <xf numFmtId="165" fontId="14" fillId="3" borderId="1" xfId="0" applyNumberFormat="1" applyFont="1" applyFill="1" applyBorder="1" applyAlignment="1" applyProtection="1">
      <alignment horizontal="right"/>
      <protection locked="0"/>
    </xf>
    <xf numFmtId="0" fontId="14" fillId="3" borderId="1" xfId="0" applyNumberFormat="1" applyFont="1" applyFill="1" applyBorder="1" applyAlignment="1" applyProtection="1">
      <alignment horizontal="right"/>
      <protection locked="0"/>
    </xf>
    <xf numFmtId="165" fontId="0" fillId="2" borderId="1" xfId="0" applyNumberFormat="1" applyFill="1" applyBorder="1" applyAlignment="1">
      <alignment/>
    </xf>
    <xf numFmtId="0" fontId="0" fillId="7" borderId="42" xfId="0" applyFill="1" applyBorder="1" applyAlignment="1" applyProtection="1">
      <alignment/>
      <protection/>
    </xf>
    <xf numFmtId="164" fontId="0" fillId="0" borderId="0" xfId="0" applyNumberFormat="1" applyAlignment="1" applyProtection="1">
      <alignment/>
      <protection locked="0"/>
    </xf>
    <xf numFmtId="0" fontId="35" fillId="3" borderId="0" xfId="0" applyFont="1" applyFill="1" applyBorder="1" applyAlignment="1">
      <alignment/>
    </xf>
    <xf numFmtId="1" fontId="19" fillId="3" borderId="36" xfId="149" applyNumberFormat="1" applyFill="1" applyBorder="1" applyAlignment="1">
      <alignment horizontal="left"/>
      <protection/>
    </xf>
    <xf numFmtId="1" fontId="19" fillId="3" borderId="37" xfId="149" applyNumberFormat="1" applyFill="1" applyBorder="1" applyAlignment="1">
      <alignment horizontal="left"/>
      <protection/>
    </xf>
    <xf numFmtId="1" fontId="19" fillId="3" borderId="39" xfId="149" applyNumberFormat="1" applyFill="1" applyBorder="1" applyAlignment="1">
      <alignment horizontal="left" vertical="top"/>
      <protection/>
    </xf>
    <xf numFmtId="0" fontId="0" fillId="3" borderId="0" xfId="0" applyFont="1" applyFill="1" applyBorder="1" applyAlignment="1">
      <alignment/>
    </xf>
    <xf numFmtId="0" fontId="8" fillId="3" borderId="0" xfId="0" applyFont="1" applyFill="1" applyBorder="1" applyAlignment="1" applyProtection="1">
      <alignment horizontal="right"/>
      <protection/>
    </xf>
    <xf numFmtId="0" fontId="1" fillId="3" borderId="0" xfId="0" applyFont="1" applyFill="1" applyBorder="1" applyAlignment="1">
      <alignment horizontal="right"/>
    </xf>
    <xf numFmtId="0" fontId="0" fillId="0" borderId="0" xfId="0" applyFont="1" applyAlignment="1">
      <alignment/>
    </xf>
    <xf numFmtId="14" fontId="19" fillId="3" borderId="0" xfId="149" applyNumberFormat="1" applyFont="1" applyFill="1" applyBorder="1" applyAlignment="1">
      <alignment/>
      <protection/>
    </xf>
    <xf numFmtId="0" fontId="5" fillId="3" borderId="0" xfId="0" applyFont="1" applyFill="1" applyBorder="1" applyAlignment="1" applyProtection="1">
      <alignment/>
      <protection/>
    </xf>
    <xf numFmtId="1" fontId="19" fillId="3" borderId="0" xfId="149" applyNumberFormat="1" applyFont="1" applyFill="1" applyBorder="1" applyAlignment="1">
      <alignment/>
      <protection/>
    </xf>
    <xf numFmtId="0" fontId="0" fillId="3" borderId="0" xfId="0" applyFont="1" applyFill="1" applyBorder="1" applyAlignment="1">
      <alignment vertical="top"/>
    </xf>
    <xf numFmtId="0" fontId="5" fillId="3" borderId="0" xfId="0" applyFont="1" applyFill="1" applyBorder="1" applyAlignment="1" applyProtection="1">
      <alignment vertical="top"/>
      <protection/>
    </xf>
    <xf numFmtId="0" fontId="19" fillId="3" borderId="0" xfId="149" applyFont="1" applyFill="1" applyBorder="1" applyAlignment="1">
      <alignment/>
      <protection/>
    </xf>
    <xf numFmtId="0" fontId="0" fillId="3" borderId="29" xfId="0" applyFont="1" applyFill="1" applyBorder="1" applyAlignment="1">
      <alignment/>
    </xf>
    <xf numFmtId="0" fontId="8" fillId="3" borderId="26" xfId="0" applyFont="1" applyFill="1" applyBorder="1" applyAlignment="1" applyProtection="1">
      <alignment horizontal="right"/>
      <protection/>
    </xf>
    <xf numFmtId="0" fontId="19" fillId="3" borderId="26" xfId="149" applyFont="1" applyFill="1" applyBorder="1" applyAlignment="1">
      <alignment/>
      <protection/>
    </xf>
    <xf numFmtId="0" fontId="0" fillId="3" borderId="26" xfId="0" applyFont="1" applyFill="1" applyBorder="1" applyAlignment="1">
      <alignment/>
    </xf>
    <xf numFmtId="1" fontId="19" fillId="3" borderId="36" xfId="149" applyNumberFormat="1" applyFont="1" applyFill="1" applyBorder="1" applyAlignment="1">
      <alignment horizontal="left"/>
      <protection/>
    </xf>
    <xf numFmtId="0" fontId="0" fillId="3" borderId="27" xfId="0" applyFont="1" applyFill="1" applyBorder="1" applyAlignment="1">
      <alignment/>
    </xf>
    <xf numFmtId="1" fontId="19" fillId="3" borderId="37" xfId="149" applyNumberFormat="1" applyFont="1" applyFill="1" applyBorder="1" applyAlignment="1">
      <alignment horizontal="left"/>
      <protection/>
    </xf>
    <xf numFmtId="0" fontId="0" fillId="3" borderId="27" xfId="0" applyFont="1" applyFill="1" applyBorder="1" applyAlignment="1">
      <alignment vertical="top"/>
    </xf>
    <xf numFmtId="0" fontId="0" fillId="3" borderId="38" xfId="0" applyFont="1" applyFill="1" applyBorder="1" applyAlignment="1">
      <alignment vertical="top"/>
    </xf>
    <xf numFmtId="0" fontId="8" fillId="3" borderId="28" xfId="0" applyFont="1" applyFill="1" applyBorder="1" applyAlignment="1" applyProtection="1">
      <alignment horizontal="right" vertical="top"/>
      <protection/>
    </xf>
    <xf numFmtId="1" fontId="19" fillId="3" borderId="28" xfId="149" applyNumberFormat="1" applyFont="1" applyFill="1" applyBorder="1" applyAlignment="1">
      <alignment vertical="top"/>
      <protection/>
    </xf>
    <xf numFmtId="0" fontId="5" fillId="3" borderId="28" xfId="0" applyFont="1" applyFill="1" applyBorder="1" applyAlignment="1" applyProtection="1">
      <alignment vertical="top"/>
      <protection/>
    </xf>
    <xf numFmtId="0" fontId="0" fillId="3" borderId="28" xfId="0" applyFont="1" applyFill="1" applyBorder="1" applyAlignment="1">
      <alignment vertical="top"/>
    </xf>
    <xf numFmtId="0" fontId="0" fillId="3" borderId="28" xfId="0" applyFont="1" applyFill="1" applyBorder="1" applyAlignment="1">
      <alignment/>
    </xf>
    <xf numFmtId="1" fontId="19" fillId="3" borderId="39" xfId="149" applyNumberFormat="1" applyFont="1" applyFill="1" applyBorder="1" applyAlignment="1">
      <alignment horizontal="left" vertical="top"/>
      <protection/>
    </xf>
    <xf numFmtId="0" fontId="0" fillId="0" borderId="0" xfId="0" applyFont="1" applyFill="1" applyBorder="1" applyAlignment="1">
      <alignment/>
    </xf>
    <xf numFmtId="0" fontId="34" fillId="0" borderId="0" xfId="0" applyFont="1" applyFill="1" applyBorder="1" applyAlignment="1" applyProtection="1">
      <alignment horizontal="left"/>
      <protection/>
    </xf>
    <xf numFmtId="0" fontId="34" fillId="0" borderId="0" xfId="0" applyFont="1" applyFill="1" applyBorder="1" applyAlignment="1" applyProtection="1">
      <alignment horizontal="left" vertical="top"/>
      <protection/>
    </xf>
    <xf numFmtId="0" fontId="0" fillId="3" borderId="37" xfId="0" applyFill="1" applyBorder="1" applyAlignment="1">
      <alignment/>
    </xf>
    <xf numFmtId="0" fontId="34" fillId="0" borderId="28" xfId="0" applyFont="1" applyFill="1" applyBorder="1" applyAlignment="1" applyProtection="1">
      <alignment horizontal="left"/>
      <protection/>
    </xf>
    <xf numFmtId="0" fontId="37" fillId="0" borderId="0" xfId="0" applyFont="1" applyBorder="1" applyAlignment="1" applyProtection="1">
      <alignment/>
      <protection/>
    </xf>
    <xf numFmtId="0" fontId="33" fillId="3" borderId="0" xfId="149" applyFont="1" applyFill="1" applyBorder="1" applyAlignment="1" applyProtection="1">
      <alignment horizontal="left"/>
      <protection/>
    </xf>
    <xf numFmtId="0" fontId="28" fillId="3" borderId="0" xfId="0" applyFont="1" applyFill="1" applyAlignment="1" applyProtection="1">
      <alignment horizontal="center"/>
      <protection/>
    </xf>
    <xf numFmtId="1" fontId="33" fillId="3" borderId="0" xfId="149" applyNumberFormat="1" applyFont="1" applyFill="1" applyBorder="1" applyAlignment="1" applyProtection="1">
      <alignment horizontal="left"/>
      <protection/>
    </xf>
    <xf numFmtId="0" fontId="28" fillId="0" borderId="0" xfId="0" applyFont="1" applyAlignment="1" applyProtection="1">
      <alignment/>
      <protection/>
    </xf>
    <xf numFmtId="0" fontId="28" fillId="3" borderId="0" xfId="0" applyFont="1" applyFill="1" applyAlignment="1" applyProtection="1">
      <alignment/>
      <protection/>
    </xf>
    <xf numFmtId="0" fontId="28" fillId="0" borderId="0" xfId="0" applyFont="1" applyFill="1" applyBorder="1" applyAlignment="1" applyProtection="1">
      <alignment/>
      <protection/>
    </xf>
    <xf numFmtId="14" fontId="33" fillId="3" borderId="0" xfId="149" applyNumberFormat="1" applyFont="1" applyFill="1" applyBorder="1" applyAlignment="1" applyProtection="1">
      <alignment horizontal="left"/>
      <protection/>
    </xf>
    <xf numFmtId="1" fontId="33" fillId="3" borderId="0" xfId="149" applyNumberFormat="1" applyFont="1" applyFill="1" applyBorder="1" applyAlignment="1" applyProtection="1">
      <alignment horizontal="left" vertical="top"/>
      <protection/>
    </xf>
    <xf numFmtId="0" fontId="28" fillId="0" borderId="0" xfId="0" applyFont="1" applyFill="1" applyAlignment="1" applyProtection="1">
      <alignment/>
      <protection/>
    </xf>
    <xf numFmtId="0" fontId="0" fillId="3" borderId="0" xfId="0" applyFill="1" applyBorder="1" applyAlignment="1" applyProtection="1">
      <alignment/>
      <protection/>
    </xf>
    <xf numFmtId="0" fontId="0" fillId="0" borderId="0" xfId="0" applyBorder="1" applyAlignment="1" applyProtection="1">
      <alignment/>
      <protection/>
    </xf>
    <xf numFmtId="1" fontId="33" fillId="3" borderId="28" xfId="149" applyNumberFormat="1" applyFont="1" applyFill="1" applyBorder="1" applyAlignment="1" applyProtection="1">
      <alignment horizontal="left"/>
      <protection/>
    </xf>
    <xf numFmtId="0" fontId="28" fillId="3" borderId="28" xfId="0" applyFont="1" applyFill="1" applyBorder="1" applyAlignment="1" applyProtection="1">
      <alignment/>
      <protection/>
    </xf>
    <xf numFmtId="0" fontId="28" fillId="0" borderId="0" xfId="0" applyFont="1" applyFill="1" applyBorder="1" applyAlignment="1" applyProtection="1">
      <alignment horizontal="center"/>
      <protection/>
    </xf>
    <xf numFmtId="0" fontId="31" fillId="0" borderId="0" xfId="0" applyFont="1" applyBorder="1" applyAlignment="1" applyProtection="1">
      <alignment/>
      <protection/>
    </xf>
    <xf numFmtId="0" fontId="31" fillId="0" borderId="28" xfId="0" applyFont="1" applyBorder="1" applyAlignment="1" applyProtection="1">
      <alignment horizontal="centerContinuous"/>
      <protection/>
    </xf>
    <xf numFmtId="0" fontId="31" fillId="0" borderId="28" xfId="0" applyFont="1" applyFill="1" applyBorder="1" applyAlignment="1" applyProtection="1">
      <alignment horizontal="center"/>
      <protection/>
    </xf>
    <xf numFmtId="0" fontId="31" fillId="0" borderId="28" xfId="0" applyFont="1" applyFill="1" applyBorder="1" applyAlignment="1" applyProtection="1">
      <alignment horizontal="centerContinuous"/>
      <protection/>
    </xf>
    <xf numFmtId="165" fontId="33" fillId="3" borderId="0" xfId="0" applyNumberFormat="1" applyFont="1" applyFill="1" applyBorder="1" applyAlignment="1" applyProtection="1">
      <alignment horizontal="center"/>
      <protection/>
    </xf>
    <xf numFmtId="165" fontId="33" fillId="3" borderId="0" xfId="0" applyNumberFormat="1" applyFont="1" applyFill="1" applyBorder="1" applyAlignment="1" applyProtection="1" quotePrefix="1">
      <alignment horizontal="right"/>
      <protection/>
    </xf>
    <xf numFmtId="0" fontId="33" fillId="3" borderId="0" xfId="0" applyFont="1" applyFill="1" applyAlignment="1" applyProtection="1">
      <alignment/>
      <protection/>
    </xf>
    <xf numFmtId="167" fontId="33" fillId="3" borderId="0" xfId="0" applyNumberFormat="1" applyFont="1" applyFill="1" applyBorder="1" applyAlignment="1" applyProtection="1">
      <alignment horizontal="center"/>
      <protection/>
    </xf>
    <xf numFmtId="165" fontId="33" fillId="3" borderId="0" xfId="0" applyNumberFormat="1" applyFont="1" applyFill="1" applyBorder="1" applyAlignment="1" applyProtection="1">
      <alignment horizontal="right"/>
      <protection/>
    </xf>
    <xf numFmtId="165" fontId="33" fillId="0" borderId="0" xfId="0" applyNumberFormat="1" applyFont="1" applyFill="1" applyBorder="1" applyAlignment="1" applyProtection="1">
      <alignment horizontal="center"/>
      <protection/>
    </xf>
    <xf numFmtId="0" fontId="33" fillId="0" borderId="0" xfId="0" applyFont="1" applyAlignment="1" applyProtection="1">
      <alignment horizontal="center"/>
      <protection/>
    </xf>
    <xf numFmtId="165" fontId="33" fillId="0" borderId="0" xfId="0" applyNumberFormat="1" applyFont="1" applyFill="1" applyBorder="1" applyAlignment="1" applyProtection="1">
      <alignment horizontal="right"/>
      <protection/>
    </xf>
    <xf numFmtId="0" fontId="33" fillId="0" borderId="0" xfId="0" applyFont="1" applyAlignment="1" applyProtection="1">
      <alignment/>
      <protection/>
    </xf>
    <xf numFmtId="0" fontId="33" fillId="3" borderId="0" xfId="0" applyFont="1" applyFill="1" applyAlignment="1" applyProtection="1">
      <alignment horizontal="left"/>
      <protection/>
    </xf>
    <xf numFmtId="167" fontId="33" fillId="0" borderId="0" xfId="0" applyNumberFormat="1" applyFont="1" applyFill="1" applyBorder="1" applyAlignment="1" applyProtection="1">
      <alignment horizontal="center"/>
      <protection/>
    </xf>
    <xf numFmtId="0" fontId="33" fillId="0" borderId="0" xfId="0" applyFont="1" applyAlignment="1" applyProtection="1">
      <alignment horizontal="left"/>
      <protection/>
    </xf>
    <xf numFmtId="0" fontId="28" fillId="0" borderId="28" xfId="0" applyFont="1" applyFill="1" applyBorder="1" applyAlignment="1" applyProtection="1">
      <alignment/>
      <protection/>
    </xf>
    <xf numFmtId="167" fontId="28" fillId="0" borderId="28" xfId="0" applyNumberFormat="1" applyFont="1" applyFill="1" applyBorder="1" applyAlignment="1" applyProtection="1">
      <alignment horizontal="center"/>
      <protection/>
    </xf>
    <xf numFmtId="0" fontId="28" fillId="0" borderId="28" xfId="0" applyFont="1" applyBorder="1" applyAlignment="1" applyProtection="1">
      <alignment horizontal="center"/>
      <protection/>
    </xf>
    <xf numFmtId="0" fontId="28" fillId="0" borderId="28" xfId="0" applyFont="1" applyBorder="1" applyAlignment="1" applyProtection="1">
      <alignment/>
      <protection/>
    </xf>
    <xf numFmtId="0" fontId="28" fillId="0" borderId="0" xfId="0" applyFont="1" applyAlignment="1" applyProtection="1">
      <alignment horizontal="center"/>
      <protection/>
    </xf>
    <xf numFmtId="0" fontId="5" fillId="2" borderId="33" xfId="0" applyFont="1" applyFill="1" applyBorder="1" applyAlignment="1" applyProtection="1">
      <alignment horizontal="right"/>
      <protection/>
    </xf>
    <xf numFmtId="0" fontId="5" fillId="2" borderId="43" xfId="0" applyFont="1" applyFill="1" applyBorder="1" applyAlignment="1" applyProtection="1">
      <alignment horizontal="right"/>
      <protection/>
    </xf>
    <xf numFmtId="0" fontId="5" fillId="2" borderId="44" xfId="0" applyFont="1" applyFill="1" applyBorder="1" applyAlignment="1" applyProtection="1">
      <alignment horizontal="right"/>
      <protection/>
    </xf>
    <xf numFmtId="0" fontId="21" fillId="2" borderId="43" xfId="0" applyFont="1" applyFill="1" applyBorder="1" applyAlignment="1" applyProtection="1">
      <alignment horizontal="center"/>
      <protection/>
    </xf>
    <xf numFmtId="0" fontId="21" fillId="2" borderId="44" xfId="0" applyFont="1" applyFill="1" applyBorder="1" applyAlignment="1" applyProtection="1">
      <alignment horizontal="center"/>
      <protection/>
    </xf>
    <xf numFmtId="0" fontId="5" fillId="2" borderId="15" xfId="0" applyFont="1" applyFill="1" applyBorder="1" applyAlignment="1" applyProtection="1">
      <alignment horizontal="center" wrapText="1"/>
      <protection/>
    </xf>
    <xf numFmtId="0" fontId="8" fillId="3" borderId="29" xfId="0" applyFont="1" applyFill="1" applyBorder="1" applyAlignment="1" applyProtection="1">
      <alignment horizontal="right"/>
      <protection/>
    </xf>
    <xf numFmtId="0" fontId="1" fillId="3" borderId="27" xfId="0" applyFont="1" applyFill="1" applyBorder="1" applyAlignment="1">
      <alignment horizontal="right"/>
    </xf>
    <xf numFmtId="0" fontId="8" fillId="3" borderId="27" xfId="0" applyFont="1" applyFill="1" applyBorder="1" applyAlignment="1" applyProtection="1">
      <alignment horizontal="right"/>
      <protection/>
    </xf>
    <xf numFmtId="0" fontId="8" fillId="3" borderId="38" xfId="0" applyFont="1" applyFill="1" applyBorder="1" applyAlignment="1" applyProtection="1">
      <alignment horizontal="right" vertical="top"/>
      <protection/>
    </xf>
    <xf numFmtId="0" fontId="19" fillId="3" borderId="26" xfId="149" applyFill="1" applyBorder="1" applyAlignment="1">
      <alignment horizontal="left"/>
      <protection/>
    </xf>
    <xf numFmtId="0" fontId="35" fillId="3" borderId="0" xfId="0" applyFont="1" applyFill="1" applyBorder="1" applyAlignment="1">
      <alignment horizontal="left"/>
    </xf>
    <xf numFmtId="0" fontId="19" fillId="3" borderId="0" xfId="149" applyFill="1" applyBorder="1" applyAlignment="1">
      <alignment horizontal="left"/>
      <protection/>
    </xf>
    <xf numFmtId="14" fontId="19" fillId="3" borderId="0" xfId="149" applyNumberFormat="1" applyFill="1" applyBorder="1" applyAlignment="1">
      <alignment horizontal="left"/>
      <protection/>
    </xf>
    <xf numFmtId="1" fontId="19" fillId="3" borderId="0" xfId="149" applyNumberFormat="1" applyFill="1" applyBorder="1" applyAlignment="1">
      <alignment horizontal="left"/>
      <protection/>
    </xf>
    <xf numFmtId="1" fontId="19" fillId="3" borderId="28" xfId="149" applyNumberFormat="1" applyFill="1" applyBorder="1" applyAlignment="1">
      <alignment horizontal="left" vertical="top"/>
      <protection/>
    </xf>
    <xf numFmtId="0" fontId="0" fillId="3" borderId="38" xfId="0" applyFill="1" applyBorder="1" applyAlignment="1">
      <alignment/>
    </xf>
    <xf numFmtId="0" fontId="0" fillId="0" borderId="0" xfId="0" applyAlignment="1" applyProtection="1">
      <alignment horizontal="left"/>
      <protection/>
    </xf>
    <xf numFmtId="49" fontId="0" fillId="0" borderId="0" xfId="0" applyNumberFormat="1" applyFill="1" applyAlignment="1" applyProtection="1">
      <alignment horizontal="right"/>
      <protection/>
    </xf>
    <xf numFmtId="0" fontId="0" fillId="0" borderId="0" xfId="0" applyNumberFormat="1" applyFill="1" applyAlignment="1" applyProtection="1">
      <alignment horizontal="right"/>
      <protection/>
    </xf>
    <xf numFmtId="0" fontId="0" fillId="0" borderId="0" xfId="0" applyNumberFormat="1" applyFill="1" applyAlignment="1" applyProtection="1">
      <alignment/>
      <protection/>
    </xf>
    <xf numFmtId="0" fontId="0" fillId="0" borderId="0" xfId="0" applyNumberFormat="1" applyFill="1" applyAlignment="1" applyProtection="1">
      <alignment/>
      <protection/>
    </xf>
    <xf numFmtId="0" fontId="0" fillId="2" borderId="26" xfId="0" applyFill="1" applyBorder="1" applyAlignment="1" applyProtection="1">
      <alignment horizontal="right"/>
      <protection locked="0"/>
    </xf>
    <xf numFmtId="0" fontId="0" fillId="2" borderId="26" xfId="0" applyFill="1" applyBorder="1" applyAlignment="1" applyProtection="1">
      <alignment/>
      <protection locked="0"/>
    </xf>
    <xf numFmtId="49" fontId="0" fillId="2" borderId="26" xfId="0" applyNumberFormat="1" applyFill="1" applyBorder="1" applyAlignment="1" applyProtection="1">
      <alignment/>
      <protection/>
    </xf>
    <xf numFmtId="0" fontId="0" fillId="2" borderId="26" xfId="0" applyFill="1" applyBorder="1" applyAlignment="1">
      <alignment/>
    </xf>
    <xf numFmtId="0" fontId="0" fillId="2" borderId="26" xfId="0" applyFill="1" applyBorder="1" applyAlignment="1" applyProtection="1">
      <alignment/>
      <protection/>
    </xf>
    <xf numFmtId="0" fontId="0" fillId="2" borderId="0" xfId="0" applyFill="1" applyBorder="1" applyAlignment="1" applyProtection="1">
      <alignment/>
      <protection/>
    </xf>
    <xf numFmtId="167" fontId="14" fillId="3" borderId="1" xfId="147" applyNumberFormat="1" applyBorder="1">
      <alignment horizontal="right"/>
      <protection/>
    </xf>
    <xf numFmtId="0" fontId="14" fillId="2" borderId="0" xfId="146" applyNumberFormat="1" applyFill="1" applyBorder="1">
      <alignment horizontal="right"/>
      <protection/>
    </xf>
    <xf numFmtId="0" fontId="38" fillId="3" borderId="28" xfId="0" applyFont="1" applyFill="1" applyBorder="1" applyAlignment="1" applyProtection="1">
      <alignment horizontal="center"/>
      <protection/>
    </xf>
    <xf numFmtId="0" fontId="0" fillId="0" borderId="0" xfId="0" applyFill="1" applyAlignment="1" applyProtection="1">
      <alignment horizontal="right"/>
      <protection/>
    </xf>
    <xf numFmtId="0" fontId="0" fillId="0" borderId="0" xfId="0" applyFill="1" applyAlignment="1" applyProtection="1">
      <alignment/>
      <protection/>
    </xf>
    <xf numFmtId="0" fontId="0" fillId="0" borderId="0" xfId="0" applyFill="1" applyAlignment="1" applyProtection="1">
      <alignment vertical="center"/>
      <protection/>
    </xf>
    <xf numFmtId="0" fontId="0" fillId="2" borderId="26" xfId="0" applyFill="1" applyBorder="1" applyAlignment="1" applyProtection="1">
      <alignment horizontal="right"/>
      <protection/>
    </xf>
    <xf numFmtId="0" fontId="0" fillId="2" borderId="26" xfId="0" applyFill="1" applyBorder="1" applyAlignment="1" applyProtection="1">
      <alignment/>
      <protection/>
    </xf>
    <xf numFmtId="165" fontId="0" fillId="2" borderId="1" xfId="154" applyBorder="1" applyProtection="1">
      <alignment horizontal="center"/>
      <protection/>
    </xf>
    <xf numFmtId="167" fontId="14" fillId="3" borderId="1" xfId="147" applyNumberFormat="1" applyBorder="1" applyProtection="1">
      <alignment horizontal="right"/>
      <protection/>
    </xf>
    <xf numFmtId="0" fontId="0" fillId="4" borderId="0" xfId="0" applyFill="1" applyBorder="1" applyAlignment="1" applyProtection="1">
      <alignment/>
      <protection/>
    </xf>
    <xf numFmtId="170" fontId="0" fillId="2" borderId="0" xfId="0" applyNumberFormat="1" applyFill="1" applyBorder="1" applyAlignment="1" applyProtection="1">
      <alignment horizontal="right"/>
      <protection/>
    </xf>
    <xf numFmtId="49" fontId="0" fillId="0" borderId="0" xfId="153" applyFill="1" applyBorder="1" applyProtection="1">
      <alignment horizontal="right"/>
      <protection/>
    </xf>
    <xf numFmtId="165" fontId="15" fillId="0" borderId="0" xfId="143" applyFill="1" applyBorder="1" applyProtection="1">
      <alignment horizontal="right"/>
      <protection/>
    </xf>
    <xf numFmtId="167" fontId="17" fillId="0" borderId="0" xfId="144" applyNumberFormat="1" applyFill="1" applyProtection="1">
      <alignment horizontal="right"/>
      <protection/>
    </xf>
    <xf numFmtId="49" fontId="17" fillId="0" borderId="0" xfId="144" applyFill="1" applyProtection="1">
      <alignment horizontal="right"/>
      <protection/>
    </xf>
    <xf numFmtId="0" fontId="18" fillId="0" borderId="0" xfId="142" applyFill="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167" fontId="0" fillId="0" borderId="0" xfId="0" applyNumberFormat="1" applyFill="1" applyBorder="1" applyAlignment="1" applyProtection="1">
      <alignment/>
      <protection/>
    </xf>
    <xf numFmtId="0" fontId="30" fillId="0" borderId="0" xfId="0" applyFont="1" applyFill="1" applyAlignment="1" applyProtection="1">
      <alignment/>
      <protection/>
    </xf>
    <xf numFmtId="0" fontId="30" fillId="0" borderId="0" xfId="0" applyFont="1" applyFill="1" applyAlignment="1" applyProtection="1">
      <alignment/>
      <protection/>
    </xf>
    <xf numFmtId="49" fontId="17" fillId="0" borderId="0" xfId="144" applyFill="1" applyBorder="1" applyProtection="1">
      <alignment horizontal="right"/>
      <protection/>
    </xf>
    <xf numFmtId="49" fontId="3" fillId="0" borderId="0" xfId="153" applyFont="1" applyFill="1" applyBorder="1" applyAlignment="1" applyProtection="1">
      <alignment horizontal="centerContinuous"/>
      <protection/>
    </xf>
    <xf numFmtId="49" fontId="24" fillId="0" borderId="0" xfId="144" applyFont="1" applyFill="1" applyBorder="1" applyAlignment="1" applyProtection="1">
      <alignment horizontal="centerContinuous"/>
      <protection/>
    </xf>
    <xf numFmtId="49" fontId="0" fillId="0" borderId="0" xfId="140" applyFill="1" applyBorder="1" applyProtection="1">
      <alignment horizontal="center"/>
      <protection/>
    </xf>
    <xf numFmtId="165" fontId="14" fillId="0" borderId="0" xfId="147" applyFill="1" applyBorder="1" applyProtection="1">
      <alignment horizontal="right"/>
      <protection/>
    </xf>
    <xf numFmtId="167" fontId="15" fillId="0" borderId="1" xfId="143" applyNumberFormat="1" applyBorder="1" applyProtection="1">
      <alignment horizontal="right"/>
      <protection locked="0"/>
    </xf>
    <xf numFmtId="165" fontId="15" fillId="0" borderId="1" xfId="143" applyNumberFormat="1" applyBorder="1" applyProtection="1">
      <alignment horizontal="right"/>
      <protection locked="0"/>
    </xf>
    <xf numFmtId="165" fontId="14" fillId="3" borderId="1" xfId="147" applyBorder="1" applyProtection="1">
      <alignment horizontal="right"/>
      <protection/>
    </xf>
    <xf numFmtId="165" fontId="15" fillId="0" borderId="1" xfId="143" applyBorder="1" applyProtection="1">
      <alignment horizontal="right"/>
      <protection locked="0"/>
    </xf>
    <xf numFmtId="165" fontId="14" fillId="3" borderId="1" xfId="147" applyNumberFormat="1" applyBorder="1" applyProtection="1">
      <alignment horizontal="right"/>
      <protection/>
    </xf>
    <xf numFmtId="167" fontId="19" fillId="3" borderId="16" xfId="149" applyNumberFormat="1" applyFill="1" applyBorder="1">
      <alignment horizontal="right"/>
      <protection/>
    </xf>
    <xf numFmtId="167" fontId="19" fillId="3" borderId="17" xfId="149" applyNumberFormat="1" applyFill="1" applyBorder="1">
      <alignment horizontal="right"/>
      <protection/>
    </xf>
    <xf numFmtId="167" fontId="19" fillId="3" borderId="18" xfId="149" applyNumberFormat="1" applyFill="1" applyBorder="1">
      <alignment horizontal="right"/>
      <protection/>
    </xf>
    <xf numFmtId="167" fontId="19" fillId="3" borderId="19" xfId="149" applyNumberFormat="1" applyFill="1" applyBorder="1">
      <alignment horizontal="right"/>
      <protection/>
    </xf>
    <xf numFmtId="167" fontId="19" fillId="3" borderId="1" xfId="149" applyNumberFormat="1" applyFill="1" applyBorder="1">
      <alignment horizontal="right"/>
      <protection/>
    </xf>
    <xf numFmtId="167" fontId="19" fillId="3" borderId="20" xfId="149" applyNumberFormat="1" applyFill="1" applyBorder="1">
      <alignment horizontal="right"/>
      <protection/>
    </xf>
    <xf numFmtId="1" fontId="14" fillId="3" borderId="1" xfId="0" applyNumberFormat="1" applyFont="1" applyFill="1" applyBorder="1" applyAlignment="1" applyProtection="1">
      <alignment horizontal="right"/>
      <protection locked="0"/>
    </xf>
    <xf numFmtId="0" fontId="39" fillId="3" borderId="28" xfId="0" applyFont="1" applyFill="1" applyBorder="1" applyAlignment="1" applyProtection="1">
      <alignment horizontal="right"/>
      <protection/>
    </xf>
    <xf numFmtId="0" fontId="5" fillId="0" borderId="28" xfId="0" applyFont="1" applyFill="1" applyBorder="1" applyAlignment="1" applyProtection="1">
      <alignment/>
      <protection/>
    </xf>
    <xf numFmtId="0" fontId="31" fillId="0" borderId="28" xfId="0" applyFont="1" applyBorder="1" applyAlignment="1">
      <alignment/>
    </xf>
    <xf numFmtId="0" fontId="0" fillId="0" borderId="28" xfId="0" applyBorder="1" applyAlignment="1">
      <alignment/>
    </xf>
    <xf numFmtId="167" fontId="33" fillId="3" borderId="0" xfId="0" applyNumberFormat="1" applyFont="1" applyFill="1" applyAlignment="1" applyProtection="1">
      <alignment horizontal="center"/>
      <protection/>
    </xf>
    <xf numFmtId="0" fontId="41" fillId="3" borderId="45" xfId="0" applyFont="1" applyFill="1" applyBorder="1" applyAlignment="1" applyProtection="1">
      <alignment horizontal="centerContinuous" vertical="center"/>
      <protection/>
    </xf>
    <xf numFmtId="0" fontId="42" fillId="3" borderId="45" xfId="0" applyFont="1" applyFill="1" applyBorder="1" applyAlignment="1" applyProtection="1">
      <alignment horizontal="centerContinuous"/>
      <protection/>
    </xf>
    <xf numFmtId="49" fontId="17" fillId="2" borderId="0" xfId="144">
      <alignment horizontal="right"/>
      <protection/>
    </xf>
    <xf numFmtId="167" fontId="17" fillId="2" borderId="0" xfId="144" applyNumberFormat="1">
      <alignment horizontal="right"/>
      <protection/>
    </xf>
    <xf numFmtId="49" fontId="0" fillId="2" borderId="0" xfId="153">
      <alignment horizontal="right"/>
      <protection/>
    </xf>
    <xf numFmtId="49" fontId="15" fillId="0" borderId="1" xfId="143">
      <alignment horizontal="right"/>
      <protection locked="0"/>
    </xf>
    <xf numFmtId="165" fontId="0" fillId="2" borderId="1" xfId="154">
      <alignment horizontal="center"/>
      <protection/>
    </xf>
    <xf numFmtId="167" fontId="15" fillId="0" borderId="1" xfId="143" applyNumberFormat="1">
      <alignment horizontal="right"/>
      <protection locked="0"/>
    </xf>
    <xf numFmtId="49" fontId="0" fillId="2" borderId="0" xfId="0" applyNumberFormat="1" applyFill="1" applyBorder="1" applyAlignment="1" applyProtection="1">
      <alignment horizontal="right"/>
      <protection/>
    </xf>
    <xf numFmtId="164" fontId="0" fillId="2" borderId="0" xfId="0" applyNumberFormat="1" applyFill="1" applyBorder="1" applyAlignment="1" applyProtection="1">
      <alignment/>
      <protection locked="0"/>
    </xf>
    <xf numFmtId="0" fontId="6" fillId="2" borderId="0" xfId="0" applyFont="1" applyFill="1" applyBorder="1" applyAlignment="1" applyProtection="1">
      <alignment/>
      <protection/>
    </xf>
    <xf numFmtId="49" fontId="6" fillId="2" borderId="0" xfId="0" applyNumberFormat="1" applyFont="1" applyFill="1" applyBorder="1" applyAlignment="1" applyProtection="1">
      <alignment horizontal="right"/>
      <protection/>
    </xf>
    <xf numFmtId="49" fontId="5" fillId="2" borderId="1" xfId="0" applyNumberFormat="1" applyFont="1" applyFill="1" applyBorder="1" applyAlignment="1" applyProtection="1">
      <alignment horizontal="center"/>
      <protection/>
    </xf>
    <xf numFmtId="49" fontId="5" fillId="2" borderId="4" xfId="0" applyNumberFormat="1" applyFont="1" applyFill="1" applyBorder="1" applyAlignment="1" applyProtection="1">
      <alignment horizontal="center" wrapText="1"/>
      <protection/>
    </xf>
    <xf numFmtId="49" fontId="0" fillId="2" borderId="11" xfId="0" applyNumberFormat="1" applyFill="1" applyBorder="1" applyAlignment="1" applyProtection="1">
      <alignment horizontal="center"/>
      <protection/>
    </xf>
    <xf numFmtId="164" fontId="5" fillId="2" borderId="0" xfId="0" applyNumberFormat="1" applyFont="1" applyFill="1" applyBorder="1" applyAlignment="1" applyProtection="1">
      <alignment/>
      <protection locked="0"/>
    </xf>
    <xf numFmtId="0" fontId="0" fillId="2" borderId="0" xfId="0" applyFill="1" applyBorder="1" applyAlignment="1" applyProtection="1">
      <alignment/>
      <protection locked="0"/>
    </xf>
    <xf numFmtId="49" fontId="0" fillId="2" borderId="0" xfId="0" applyNumberFormat="1" applyFill="1" applyBorder="1" applyAlignment="1" applyProtection="1">
      <alignment horizontal="right"/>
      <protection locked="0"/>
    </xf>
    <xf numFmtId="49" fontId="0" fillId="2" borderId="0" xfId="153" applyBorder="1" applyProtection="1">
      <alignment horizontal="right"/>
      <protection/>
    </xf>
    <xf numFmtId="49" fontId="5" fillId="2" borderId="0" xfId="144" applyNumberFormat="1" applyFont="1" applyBorder="1" applyProtection="1">
      <alignment horizontal="right"/>
      <protection/>
    </xf>
    <xf numFmtId="0" fontId="5" fillId="2" borderId="0" xfId="0" applyFont="1" applyFill="1" applyBorder="1" applyAlignment="1" applyProtection="1">
      <alignment horizontal="right"/>
      <protection/>
    </xf>
    <xf numFmtId="49" fontId="5" fillId="2" borderId="4" xfId="0" applyNumberFormat="1" applyFont="1" applyFill="1" applyBorder="1" applyAlignment="1" applyProtection="1">
      <alignment horizontal="center"/>
      <protection/>
    </xf>
    <xf numFmtId="49" fontId="0" fillId="2" borderId="0" xfId="153" applyFill="1" applyBorder="1" applyProtection="1">
      <alignment horizontal="right"/>
      <protection/>
    </xf>
    <xf numFmtId="49" fontId="17" fillId="2" borderId="0" xfId="144" applyBorder="1" applyProtection="1">
      <alignment horizontal="right"/>
      <protection/>
    </xf>
    <xf numFmtId="49" fontId="17" fillId="2" borderId="0" xfId="144" applyFill="1" applyBorder="1" applyProtection="1">
      <alignment horizontal="right"/>
      <protection/>
    </xf>
    <xf numFmtId="1" fontId="0" fillId="2" borderId="0" xfId="0" applyNumberFormat="1" applyFont="1" applyFill="1" applyBorder="1" applyAlignment="1" applyProtection="1">
      <alignment horizontal="center"/>
      <protection/>
    </xf>
    <xf numFmtId="0" fontId="0" fillId="2" borderId="0" xfId="0" applyFont="1" applyFill="1" applyBorder="1" applyAlignment="1" applyProtection="1">
      <alignment horizontal="right"/>
      <protection/>
    </xf>
    <xf numFmtId="49" fontId="5" fillId="2" borderId="0" xfId="144" applyFont="1" applyBorder="1" applyProtection="1">
      <alignment horizontal="right"/>
      <protection/>
    </xf>
    <xf numFmtId="0" fontId="1" fillId="2" borderId="0" xfId="0" applyFont="1" applyFill="1" applyBorder="1" applyAlignment="1" applyProtection="1">
      <alignment horizontal="right"/>
      <protection/>
    </xf>
    <xf numFmtId="165" fontId="33" fillId="0" borderId="0" xfId="0" applyNumberFormat="1" applyFont="1" applyFill="1" applyBorder="1" applyAlignment="1" applyProtection="1" quotePrefix="1">
      <alignment horizontal="right"/>
      <protection/>
    </xf>
    <xf numFmtId="0" fontId="33" fillId="0" borderId="0" xfId="0" applyFont="1" applyFill="1" applyAlignment="1" applyProtection="1">
      <alignment/>
      <protection/>
    </xf>
    <xf numFmtId="164" fontId="15" fillId="2" borderId="0" xfId="143" applyNumberFormat="1" applyFill="1" applyBorder="1" applyProtection="1">
      <alignment horizontal="right"/>
      <protection/>
    </xf>
    <xf numFmtId="0" fontId="1" fillId="3" borderId="0" xfId="0" applyFont="1" applyFill="1" applyBorder="1" applyAlignment="1">
      <alignment horizontal="right"/>
    </xf>
    <xf numFmtId="0" fontId="19" fillId="3" borderId="37" xfId="0" applyFont="1" applyFill="1" applyBorder="1" applyAlignment="1">
      <alignment/>
    </xf>
    <xf numFmtId="0" fontId="31" fillId="0" borderId="0" xfId="0" applyFont="1" applyAlignment="1" applyProtection="1">
      <alignment/>
      <protection/>
    </xf>
    <xf numFmtId="0" fontId="39" fillId="3" borderId="0" xfId="0" applyFont="1" applyFill="1" applyAlignment="1" applyProtection="1">
      <alignment/>
      <protection/>
    </xf>
    <xf numFmtId="165" fontId="33" fillId="3" borderId="0" xfId="0" applyNumberFormat="1" applyFont="1" applyFill="1" applyAlignment="1" applyProtection="1">
      <alignment horizontal="center"/>
      <protection/>
    </xf>
    <xf numFmtId="0" fontId="0" fillId="0" borderId="0" xfId="0" applyAlignment="1" applyProtection="1">
      <alignment/>
      <protection locked="0"/>
    </xf>
    <xf numFmtId="165" fontId="5" fillId="0" borderId="0" xfId="143" applyNumberFormat="1" applyFont="1" applyBorder="1" applyProtection="1">
      <alignment horizontal="right"/>
      <protection locked="0"/>
    </xf>
    <xf numFmtId="0" fontId="5" fillId="2" borderId="0" xfId="0" applyFont="1" applyFill="1" applyBorder="1" applyAlignment="1" applyProtection="1">
      <alignment/>
      <protection/>
    </xf>
    <xf numFmtId="0" fontId="5" fillId="2" borderId="0" xfId="0" applyFont="1" applyFill="1" applyBorder="1" applyAlignment="1" applyProtection="1">
      <alignment horizontal="centerContinuous"/>
      <protection/>
    </xf>
    <xf numFmtId="165" fontId="8" fillId="2" borderId="0" xfId="0" applyNumberFormat="1" applyFont="1" applyFill="1" applyBorder="1" applyAlignment="1" applyProtection="1">
      <alignment horizontal="right"/>
      <protection/>
    </xf>
    <xf numFmtId="165" fontId="5" fillId="2" borderId="0" xfId="0" applyNumberFormat="1" applyFont="1" applyFill="1" applyBorder="1" applyAlignment="1" applyProtection="1">
      <alignment/>
      <protection/>
    </xf>
    <xf numFmtId="1" fontId="5" fillId="2" borderId="0" xfId="0" applyNumberFormat="1" applyFont="1" applyFill="1" applyBorder="1" applyAlignment="1" applyProtection="1">
      <alignment/>
      <protection/>
    </xf>
    <xf numFmtId="165" fontId="33" fillId="8" borderId="0" xfId="0" applyNumberFormat="1" applyFont="1" applyFill="1" applyBorder="1" applyAlignment="1" applyProtection="1">
      <alignment horizontal="right"/>
      <protection/>
    </xf>
    <xf numFmtId="1" fontId="14" fillId="3" borderId="1" xfId="146" applyNumberFormat="1" applyFill="1" applyBorder="1" applyProtection="1">
      <alignment horizontal="right"/>
      <protection/>
    </xf>
    <xf numFmtId="0" fontId="5" fillId="0" borderId="0" xfId="0" applyFont="1" applyFill="1" applyAlignment="1" applyProtection="1">
      <alignment/>
      <protection/>
    </xf>
    <xf numFmtId="0" fontId="5" fillId="2" borderId="27" xfId="0" applyFont="1" applyFill="1" applyBorder="1" applyAlignment="1" applyProtection="1">
      <alignment/>
      <protection/>
    </xf>
    <xf numFmtId="0" fontId="5" fillId="2" borderId="0" xfId="0" applyFont="1" applyFill="1" applyBorder="1" applyAlignment="1" applyProtection="1">
      <alignment/>
      <protection/>
    </xf>
    <xf numFmtId="0" fontId="8" fillId="2" borderId="0" xfId="0" applyFont="1" applyFill="1" applyBorder="1" applyAlignment="1" applyProtection="1">
      <alignment/>
      <protection/>
    </xf>
    <xf numFmtId="165" fontId="43" fillId="0" borderId="1" xfId="0" applyNumberFormat="1" applyFont="1" applyFill="1" applyBorder="1" applyAlignment="1" applyProtection="1">
      <alignment/>
      <protection/>
    </xf>
    <xf numFmtId="1" fontId="43" fillId="0" borderId="1" xfId="0" applyNumberFormat="1" applyFont="1" applyFill="1" applyBorder="1" applyAlignment="1" applyProtection="1">
      <alignment/>
      <protection/>
    </xf>
    <xf numFmtId="165" fontId="8" fillId="2" borderId="11" xfId="0" applyNumberFormat="1" applyFont="1" applyFill="1" applyBorder="1" applyAlignment="1" applyProtection="1">
      <alignment horizontal="right"/>
      <protection/>
    </xf>
    <xf numFmtId="0" fontId="5" fillId="2" borderId="12" xfId="0" applyFont="1" applyFill="1" applyBorder="1" applyAlignment="1" applyProtection="1">
      <alignment/>
      <protection/>
    </xf>
    <xf numFmtId="0" fontId="5" fillId="2" borderId="13" xfId="0" applyFont="1" applyFill="1" applyBorder="1" applyAlignment="1" applyProtection="1">
      <alignment/>
      <protection/>
    </xf>
    <xf numFmtId="0" fontId="5" fillId="2" borderId="14" xfId="0" applyFont="1" applyFill="1" applyBorder="1" applyAlignment="1" applyProtection="1">
      <alignment/>
      <protection/>
    </xf>
    <xf numFmtId="0" fontId="10" fillId="2" borderId="0" xfId="0" applyFont="1" applyFill="1" applyBorder="1" applyAlignment="1" applyProtection="1">
      <alignment/>
      <protection/>
    </xf>
    <xf numFmtId="0" fontId="4" fillId="2" borderId="1" xfId="150" applyFont="1" applyFill="1" applyBorder="1" applyAlignment="1">
      <alignment/>
      <protection/>
    </xf>
    <xf numFmtId="0" fontId="5" fillId="2" borderId="8" xfId="151" applyFill="1" applyBorder="1" applyAlignment="1">
      <alignment horizontal="centerContinuous"/>
      <protection locked="0"/>
    </xf>
    <xf numFmtId="0" fontId="5" fillId="2" borderId="9" xfId="151" applyFill="1" applyBorder="1" applyAlignment="1">
      <alignment horizontal="centerContinuous"/>
      <protection locked="0"/>
    </xf>
    <xf numFmtId="0" fontId="5" fillId="2" borderId="10" xfId="151" applyFill="1" applyBorder="1" applyAlignment="1">
      <alignment horizontal="centerContinuous"/>
      <protection locked="0"/>
    </xf>
    <xf numFmtId="0" fontId="4" fillId="2" borderId="16" xfId="151" applyFont="1" applyFill="1" applyBorder="1" applyAlignment="1">
      <alignment/>
      <protection locked="0"/>
    </xf>
    <xf numFmtId="0" fontId="4" fillId="2" borderId="18" xfId="151" applyFont="1" applyFill="1" applyBorder="1" applyAlignment="1">
      <alignment/>
      <protection locked="0"/>
    </xf>
    <xf numFmtId="0" fontId="4" fillId="2" borderId="21" xfId="151" applyFont="1" applyFill="1" applyBorder="1" applyAlignment="1">
      <alignment/>
      <protection locked="0"/>
    </xf>
    <xf numFmtId="0" fontId="4" fillId="2" borderId="23" xfId="151" applyFont="1" applyFill="1" applyBorder="1" applyAlignment="1">
      <alignment/>
      <protection locked="0"/>
    </xf>
    <xf numFmtId="0" fontId="4" fillId="9" borderId="16" xfId="151" applyFont="1" applyFill="1" applyBorder="1" applyAlignment="1">
      <alignment/>
      <protection locked="0"/>
    </xf>
    <xf numFmtId="0" fontId="4" fillId="9" borderId="18" xfId="151" applyFont="1" applyFill="1" applyBorder="1" applyAlignment="1">
      <alignment/>
      <protection locked="0"/>
    </xf>
    <xf numFmtId="0" fontId="4" fillId="9" borderId="21" xfId="151" applyFont="1" applyFill="1" applyBorder="1" applyAlignment="1">
      <alignment/>
      <protection locked="0"/>
    </xf>
    <xf numFmtId="0" fontId="4" fillId="9" borderId="23" xfId="151" applyFont="1" applyFill="1" applyBorder="1" applyAlignment="1">
      <alignment/>
      <protection locked="0"/>
    </xf>
    <xf numFmtId="0" fontId="1" fillId="2" borderId="8" xfId="0" applyFont="1" applyFill="1" applyBorder="1" applyAlignment="1" applyProtection="1">
      <alignment horizontal="centerContinuous"/>
      <protection/>
    </xf>
    <xf numFmtId="0" fontId="1" fillId="2" borderId="9" xfId="0" applyFont="1" applyFill="1" applyBorder="1" applyAlignment="1" applyProtection="1">
      <alignment horizontal="centerContinuous"/>
      <protection/>
    </xf>
    <xf numFmtId="0" fontId="1" fillId="2" borderId="10" xfId="0" applyFont="1" applyFill="1" applyBorder="1" applyAlignment="1" applyProtection="1">
      <alignment horizontal="centerContinuous"/>
      <protection/>
    </xf>
    <xf numFmtId="0" fontId="8" fillId="2" borderId="5" xfId="0" applyFont="1" applyFill="1" applyBorder="1" applyAlignment="1" applyProtection="1">
      <alignment horizontal="centerContinuous"/>
      <protection/>
    </xf>
    <xf numFmtId="0" fontId="8" fillId="2" borderId="6" xfId="0" applyFont="1" applyFill="1" applyBorder="1" applyAlignment="1" applyProtection="1">
      <alignment horizontal="centerContinuous"/>
      <protection/>
    </xf>
    <xf numFmtId="0" fontId="8" fillId="2" borderId="3" xfId="0" applyFont="1" applyFill="1" applyBorder="1" applyAlignment="1" applyProtection="1">
      <alignment horizontal="centerContinuous"/>
      <protection/>
    </xf>
    <xf numFmtId="165" fontId="14" fillId="3" borderId="1" xfId="146" applyNumberFormat="1" applyFill="1" applyBorder="1" applyProtection="1">
      <alignment horizontal="right"/>
      <protection/>
    </xf>
    <xf numFmtId="0" fontId="8" fillId="2" borderId="0" xfId="0" applyFont="1" applyFill="1" applyBorder="1" applyAlignment="1" applyProtection="1">
      <alignment horizontal="center"/>
      <protection/>
    </xf>
    <xf numFmtId="165" fontId="8" fillId="2" borderId="1" xfId="0" applyNumberFormat="1" applyFont="1" applyFill="1" applyBorder="1" applyAlignment="1" applyProtection="1">
      <alignment horizontal="right"/>
      <protection/>
    </xf>
    <xf numFmtId="0" fontId="5" fillId="2" borderId="8" xfId="0" applyFont="1" applyFill="1" applyBorder="1" applyAlignment="1" applyProtection="1">
      <alignment/>
      <protection/>
    </xf>
    <xf numFmtId="0" fontId="5" fillId="2" borderId="9" xfId="0" applyFont="1" applyFill="1" applyBorder="1" applyAlignment="1" applyProtection="1">
      <alignment/>
      <protection/>
    </xf>
    <xf numFmtId="0" fontId="5" fillId="2" borderId="10" xfId="0" applyFont="1" applyFill="1" applyBorder="1" applyAlignment="1" applyProtection="1">
      <alignment/>
      <protection/>
    </xf>
    <xf numFmtId="0" fontId="8" fillId="2" borderId="24" xfId="0" applyFont="1" applyFill="1" applyBorder="1" applyAlignment="1" applyProtection="1">
      <alignment horizontal="centerContinuous"/>
      <protection/>
    </xf>
    <xf numFmtId="0" fontId="8" fillId="2" borderId="0" xfId="0" applyFont="1" applyFill="1" applyBorder="1" applyAlignment="1" applyProtection="1">
      <alignment horizontal="centerContinuous"/>
      <protection/>
    </xf>
    <xf numFmtId="0" fontId="8" fillId="2" borderId="25" xfId="0" applyFont="1" applyFill="1" applyBorder="1" applyAlignment="1" applyProtection="1">
      <alignment horizontal="centerContinuous"/>
      <protection/>
    </xf>
    <xf numFmtId="1" fontId="14" fillId="3" borderId="4" xfId="146" applyNumberFormat="1" applyFill="1" applyBorder="1" applyProtection="1">
      <alignment horizontal="right"/>
      <protection/>
    </xf>
    <xf numFmtId="0" fontId="8" fillId="2" borderId="1" xfId="0" applyFont="1" applyFill="1" applyBorder="1" applyAlignment="1" applyProtection="1">
      <alignment horizontal="center" wrapText="1"/>
      <protection/>
    </xf>
    <xf numFmtId="165" fontId="5" fillId="2" borderId="1" xfId="0" applyNumberFormat="1" applyFont="1" applyFill="1" applyBorder="1" applyAlignment="1" applyProtection="1">
      <alignment/>
      <protection/>
    </xf>
    <xf numFmtId="165" fontId="33" fillId="8" borderId="0" xfId="0" applyNumberFormat="1" applyFont="1" applyFill="1" applyAlignment="1" applyProtection="1">
      <alignment horizontal="right"/>
      <protection/>
    </xf>
    <xf numFmtId="0" fontId="28" fillId="0" borderId="0" xfId="0" applyFont="1" applyAlignment="1" applyProtection="1" quotePrefix="1">
      <alignment/>
      <protection/>
    </xf>
    <xf numFmtId="1" fontId="18" fillId="10" borderId="1" xfId="142" applyFill="1" applyBorder="1" applyProtection="1">
      <alignment horizontal="right"/>
      <protection locked="0"/>
    </xf>
    <xf numFmtId="0" fontId="8" fillId="2" borderId="1" xfId="0" applyFont="1" applyFill="1" applyBorder="1" applyAlignment="1" applyProtection="1">
      <alignment horizontal="center" vertical="center"/>
      <protection/>
    </xf>
    <xf numFmtId="165" fontId="18" fillId="0" borderId="1" xfId="142" applyNumberFormat="1" applyFill="1" applyBorder="1" applyProtection="1">
      <alignment horizontal="right"/>
      <protection locked="0"/>
    </xf>
    <xf numFmtId="1" fontId="18" fillId="0" borderId="1" xfId="142" applyNumberFormat="1" applyFill="1" applyBorder="1" applyProtection="1">
      <alignment horizontal="right"/>
      <protection locked="0"/>
    </xf>
    <xf numFmtId="165" fontId="15" fillId="10" borderId="1" xfId="143" applyFill="1" applyBorder="1">
      <alignment horizontal="right"/>
      <protection locked="0"/>
    </xf>
    <xf numFmtId="49" fontId="18" fillId="10" borderId="5" xfId="142" applyNumberFormat="1" applyFill="1" applyBorder="1" applyAlignment="1" applyProtection="1">
      <alignment horizontal="left"/>
      <protection locked="0"/>
    </xf>
    <xf numFmtId="14" fontId="18" fillId="10" borderId="1" xfId="142" applyNumberFormat="1" applyFill="1" applyBorder="1" applyProtection="1">
      <alignment horizontal="right"/>
      <protection locked="0"/>
    </xf>
    <xf numFmtId="0" fontId="18" fillId="10" borderId="6" xfId="142" applyFill="1" applyBorder="1" applyProtection="1">
      <alignment horizontal="right"/>
      <protection/>
    </xf>
    <xf numFmtId="0" fontId="18" fillId="10" borderId="3" xfId="142" applyFill="1" applyBorder="1" applyProtection="1">
      <alignment horizontal="right"/>
      <protection/>
    </xf>
    <xf numFmtId="49" fontId="18" fillId="10" borderId="6" xfId="142" applyNumberFormat="1" applyFill="1" applyBorder="1" applyProtection="1">
      <alignment horizontal="right"/>
      <protection/>
    </xf>
    <xf numFmtId="49" fontId="18" fillId="10" borderId="3" xfId="142" applyNumberFormat="1" applyFill="1" applyBorder="1" applyProtection="1">
      <alignment horizontal="right"/>
      <protection/>
    </xf>
    <xf numFmtId="0" fontId="8" fillId="2" borderId="1"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25" fillId="0" borderId="0" xfId="0" applyFont="1" applyFill="1" applyBorder="1" applyAlignment="1" applyProtection="1">
      <alignment horizontal="centerContinuous"/>
      <protection/>
    </xf>
    <xf numFmtId="0" fontId="26" fillId="0" borderId="0" xfId="0" applyFont="1" applyFill="1" applyBorder="1" applyAlignment="1" applyProtection="1">
      <alignment horizontal="centerContinuous"/>
      <protection/>
    </xf>
    <xf numFmtId="0" fontId="25" fillId="0" borderId="0" xfId="0" applyFont="1" applyFill="1" applyBorder="1" applyAlignment="1" applyProtection="1">
      <alignment horizontal="left"/>
      <protection/>
    </xf>
    <xf numFmtId="0" fontId="8" fillId="2" borderId="5" xfId="0" applyFont="1" applyFill="1" applyBorder="1" applyAlignment="1" applyProtection="1">
      <alignment horizontal="centerContinuous" vertical="center"/>
      <protection/>
    </xf>
    <xf numFmtId="0" fontId="8" fillId="2" borderId="3" xfId="0" applyFont="1" applyFill="1" applyBorder="1" applyAlignment="1" applyProtection="1">
      <alignment horizontal="centerContinuous" vertical="center"/>
      <protection/>
    </xf>
    <xf numFmtId="0" fontId="8" fillId="0" borderId="0" xfId="0" applyFont="1" applyFill="1" applyBorder="1" applyAlignment="1" applyProtection="1">
      <alignment/>
      <protection/>
    </xf>
    <xf numFmtId="0" fontId="5" fillId="2" borderId="37" xfId="0" applyFont="1" applyFill="1" applyBorder="1" applyAlignment="1" applyProtection="1">
      <alignment horizontal="centerContinuous"/>
      <protection/>
    </xf>
    <xf numFmtId="0" fontId="8" fillId="2" borderId="37" xfId="0" applyFont="1" applyFill="1" applyBorder="1" applyAlignment="1" applyProtection="1">
      <alignment horizontal="center"/>
      <protection/>
    </xf>
    <xf numFmtId="165" fontId="8" fillId="2" borderId="37" xfId="0" applyNumberFormat="1" applyFont="1" applyFill="1" applyBorder="1" applyAlignment="1" applyProtection="1">
      <alignment horizontal="right"/>
      <protection/>
    </xf>
    <xf numFmtId="0" fontId="5" fillId="2" borderId="37" xfId="0" applyFont="1" applyFill="1" applyBorder="1" applyAlignment="1" applyProtection="1">
      <alignment/>
      <protection/>
    </xf>
    <xf numFmtId="165" fontId="5" fillId="2" borderId="37" xfId="0" applyNumberFormat="1" applyFont="1" applyFill="1" applyBorder="1" applyAlignment="1" applyProtection="1">
      <alignment/>
      <protection/>
    </xf>
    <xf numFmtId="0" fontId="0" fillId="2" borderId="37" xfId="0" applyFill="1" applyBorder="1" applyAlignment="1" applyProtection="1">
      <alignment/>
      <protection/>
    </xf>
    <xf numFmtId="0" fontId="5" fillId="2" borderId="38" xfId="0" applyFont="1" applyFill="1" applyBorder="1" applyAlignment="1" applyProtection="1">
      <alignment/>
      <protection/>
    </xf>
    <xf numFmtId="0" fontId="5" fillId="2" borderId="28" xfId="0" applyFont="1" applyFill="1" applyBorder="1" applyAlignment="1" applyProtection="1">
      <alignment/>
      <protection/>
    </xf>
    <xf numFmtId="0" fontId="5" fillId="2" borderId="39" xfId="0" applyFont="1" applyFill="1" applyBorder="1" applyAlignment="1" applyProtection="1">
      <alignment/>
      <protection/>
    </xf>
    <xf numFmtId="0" fontId="5" fillId="0" borderId="38" xfId="0" applyFont="1" applyFill="1" applyBorder="1" applyAlignment="1" applyProtection="1">
      <alignment/>
      <protection/>
    </xf>
    <xf numFmtId="0" fontId="5" fillId="0" borderId="39" xfId="0" applyFont="1" applyFill="1" applyBorder="1" applyAlignment="1" applyProtection="1">
      <alignment/>
      <protection/>
    </xf>
    <xf numFmtId="0" fontId="5" fillId="0" borderId="27" xfId="0" applyFont="1" applyFill="1" applyBorder="1" applyAlignment="1" applyProtection="1">
      <alignment/>
      <protection/>
    </xf>
    <xf numFmtId="0" fontId="5" fillId="0" borderId="37" xfId="0" applyFont="1" applyFill="1" applyBorder="1" applyAlignment="1" applyProtection="1">
      <alignment/>
      <protection/>
    </xf>
    <xf numFmtId="0" fontId="5" fillId="0" borderId="27" xfId="0" applyFont="1" applyFill="1" applyBorder="1" applyAlignment="1" applyProtection="1">
      <alignment/>
      <protection/>
    </xf>
    <xf numFmtId="0" fontId="8" fillId="2" borderId="12" xfId="0" applyFont="1" applyFill="1" applyBorder="1" applyAlignment="1" applyProtection="1">
      <alignment horizontal="centerContinuous" vertical="top"/>
      <protection/>
    </xf>
    <xf numFmtId="0" fontId="8" fillId="2" borderId="13" xfId="0" applyFont="1" applyFill="1" applyBorder="1" applyAlignment="1" applyProtection="1">
      <alignment horizontal="centerContinuous" vertical="top"/>
      <protection/>
    </xf>
    <xf numFmtId="0" fontId="8" fillId="2" borderId="14" xfId="0" applyFont="1" applyFill="1" applyBorder="1" applyAlignment="1" applyProtection="1">
      <alignment horizontal="centerContinuous" vertical="top"/>
      <protection/>
    </xf>
    <xf numFmtId="0" fontId="45" fillId="2" borderId="0" xfId="0" applyFont="1" applyFill="1" applyBorder="1" applyAlignment="1" applyProtection="1">
      <alignment/>
      <protection/>
    </xf>
    <xf numFmtId="0" fontId="46" fillId="0" borderId="29" xfId="0" applyFont="1" applyFill="1" applyBorder="1" applyAlignment="1" applyProtection="1">
      <alignment horizontal="centerContinuous" vertical="center"/>
      <protection/>
    </xf>
    <xf numFmtId="0" fontId="46" fillId="0" borderId="26" xfId="0" applyFont="1" applyFill="1" applyBorder="1" applyAlignment="1" applyProtection="1">
      <alignment horizontal="centerContinuous" vertical="center"/>
      <protection/>
    </xf>
    <xf numFmtId="0" fontId="46" fillId="0" borderId="36" xfId="0" applyFont="1" applyFill="1" applyBorder="1" applyAlignment="1" applyProtection="1">
      <alignment horizontal="centerContinuous" vertical="center"/>
      <protection/>
    </xf>
    <xf numFmtId="0" fontId="46" fillId="0" borderId="29" xfId="0" applyFont="1" applyFill="1" applyBorder="1" applyAlignment="1" applyProtection="1">
      <alignment horizontal="centerContinuous"/>
      <protection/>
    </xf>
    <xf numFmtId="0" fontId="46" fillId="0" borderId="26" xfId="0" applyFont="1" applyFill="1" applyBorder="1" applyAlignment="1" applyProtection="1">
      <alignment horizontal="centerContinuous"/>
      <protection/>
    </xf>
    <xf numFmtId="0" fontId="46" fillId="0" borderId="36" xfId="0" applyFont="1" applyFill="1" applyBorder="1" applyAlignment="1" applyProtection="1">
      <alignment horizontal="centerContinuous"/>
      <protection/>
    </xf>
    <xf numFmtId="0" fontId="5" fillId="0" borderId="38" xfId="0" applyFont="1" applyFill="1" applyBorder="1" applyAlignment="1" applyProtection="1">
      <alignment horizontal="centerContinuous" vertical="top"/>
      <protection/>
    </xf>
    <xf numFmtId="0" fontId="5" fillId="0" borderId="28" xfId="0" applyFont="1" applyFill="1" applyBorder="1" applyAlignment="1" applyProtection="1">
      <alignment horizontal="centerContinuous" vertical="top"/>
      <protection/>
    </xf>
    <xf numFmtId="0" fontId="5" fillId="0" borderId="39" xfId="0" applyFont="1" applyFill="1" applyBorder="1" applyAlignment="1" applyProtection="1">
      <alignment horizontal="centerContinuous" vertical="top"/>
      <protection/>
    </xf>
    <xf numFmtId="0" fontId="19" fillId="2" borderId="0" xfId="0" applyFont="1" applyFill="1" applyAlignment="1">
      <alignment horizontal="left"/>
    </xf>
    <xf numFmtId="0" fontId="0" fillId="2" borderId="29" xfId="0" applyFill="1" applyBorder="1" applyAlignment="1">
      <alignment/>
    </xf>
    <xf numFmtId="0" fontId="0" fillId="2" borderId="36" xfId="0" applyFill="1" applyBorder="1" applyAlignment="1">
      <alignment/>
    </xf>
    <xf numFmtId="0" fontId="1" fillId="2" borderId="5" xfId="0" applyFont="1" applyFill="1" applyBorder="1" applyAlignment="1">
      <alignment horizontal="centerContinuous"/>
    </xf>
    <xf numFmtId="0" fontId="1" fillId="2" borderId="6" xfId="0" applyFont="1" applyFill="1" applyBorder="1" applyAlignment="1">
      <alignment horizontal="centerContinuous"/>
    </xf>
    <xf numFmtId="0" fontId="1" fillId="2" borderId="3" xfId="0" applyFont="1" applyFill="1" applyBorder="1" applyAlignment="1">
      <alignment horizontal="centerContinuous"/>
    </xf>
    <xf numFmtId="0" fontId="1" fillId="2" borderId="1" xfId="0" applyFont="1" applyFill="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right"/>
    </xf>
    <xf numFmtId="0" fontId="5" fillId="2" borderId="0" xfId="0" applyFont="1" applyFill="1" applyAlignment="1" applyProtection="1">
      <alignment horizontal="centerContinuous"/>
      <protection/>
    </xf>
    <xf numFmtId="0" fontId="4" fillId="11" borderId="16" xfId="151" applyFont="1" applyFill="1" applyBorder="1" applyAlignment="1">
      <alignment/>
      <protection locked="0"/>
    </xf>
    <xf numFmtId="0" fontId="4" fillId="11" borderId="18" xfId="151" applyFont="1" applyFill="1" applyBorder="1" applyAlignment="1">
      <alignment/>
      <protection locked="0"/>
    </xf>
    <xf numFmtId="0" fontId="4" fillId="11" borderId="21" xfId="151" applyFont="1" applyFill="1" applyBorder="1" applyAlignment="1">
      <alignment/>
      <protection locked="0"/>
    </xf>
    <xf numFmtId="0" fontId="4" fillId="11" borderId="23" xfId="151" applyFont="1" applyFill="1" applyBorder="1" applyAlignment="1">
      <alignment/>
      <protection locked="0"/>
    </xf>
    <xf numFmtId="0" fontId="4" fillId="11" borderId="1" xfId="150" applyFont="1" applyFill="1" applyBorder="1" applyAlignment="1">
      <alignment/>
      <protection/>
    </xf>
    <xf numFmtId="0" fontId="0" fillId="5" borderId="0" xfId="0" applyFill="1" applyBorder="1" applyAlignment="1" quotePrefix="1">
      <alignment/>
    </xf>
    <xf numFmtId="0" fontId="0" fillId="11" borderId="1" xfId="0" applyFill="1" applyBorder="1" applyAlignment="1">
      <alignment/>
    </xf>
    <xf numFmtId="0" fontId="0" fillId="0" borderId="1" xfId="0" applyFill="1" applyBorder="1" applyAlignment="1">
      <alignment horizontal="right"/>
    </xf>
    <xf numFmtId="0" fontId="19" fillId="0" borderId="1" xfId="0" applyFont="1" applyFill="1" applyBorder="1" applyAlignment="1">
      <alignment/>
    </xf>
    <xf numFmtId="0" fontId="5" fillId="0" borderId="1" xfId="0" applyFont="1" applyFill="1" applyBorder="1" applyAlignment="1" applyProtection="1">
      <alignment horizontal="right"/>
      <protection/>
    </xf>
    <xf numFmtId="0" fontId="19" fillId="0" borderId="1" xfId="0" applyFont="1" applyFill="1" applyBorder="1" applyAlignment="1" applyProtection="1">
      <alignment horizontal="left"/>
      <protection/>
    </xf>
    <xf numFmtId="0" fontId="19" fillId="0" borderId="1" xfId="0" applyFont="1" applyFill="1" applyBorder="1" applyAlignment="1" applyProtection="1">
      <alignment/>
      <protection/>
    </xf>
    <xf numFmtId="0" fontId="19" fillId="0" borderId="1" xfId="0" applyFont="1" applyFill="1" applyBorder="1" applyAlignment="1">
      <alignment horizontal="left"/>
    </xf>
    <xf numFmtId="0" fontId="0" fillId="0" borderId="1" xfId="0" applyFill="1" applyBorder="1" applyAlignment="1">
      <alignment/>
    </xf>
    <xf numFmtId="165" fontId="8" fillId="3" borderId="1" xfId="146" applyNumberFormat="1" applyFont="1" applyFill="1" applyBorder="1" applyAlignment="1" applyProtection="1">
      <alignment horizontal="center"/>
      <protection/>
    </xf>
    <xf numFmtId="0" fontId="1" fillId="3" borderId="5" xfId="0" applyFont="1" applyFill="1" applyBorder="1" applyAlignment="1">
      <alignment horizontal="centerContinuous" vertical="center" wrapText="1"/>
    </xf>
    <xf numFmtId="0" fontId="1" fillId="3" borderId="3" xfId="0" applyFont="1" applyFill="1" applyBorder="1" applyAlignment="1">
      <alignment horizontal="centerContinuous" vertical="center" wrapText="1"/>
    </xf>
    <xf numFmtId="0" fontId="0" fillId="2" borderId="0" xfId="0" applyFill="1" applyBorder="1" applyAlignment="1" quotePrefix="1">
      <alignment/>
    </xf>
    <xf numFmtId="1" fontId="14" fillId="3" borderId="13" xfId="146" applyBorder="1">
      <alignment horizontal="right"/>
      <protection/>
    </xf>
    <xf numFmtId="0" fontId="0" fillId="2" borderId="13" xfId="0" applyFill="1" applyBorder="1" applyAlignment="1" quotePrefix="1">
      <alignment/>
    </xf>
    <xf numFmtId="0" fontId="9" fillId="7" borderId="40" xfId="0" applyNumberFormat="1" applyFont="1" applyFill="1" applyBorder="1" applyAlignment="1" applyProtection="1">
      <alignment horizontal="centerContinuous" vertical="center" wrapText="1"/>
      <protection/>
    </xf>
    <xf numFmtId="0" fontId="0" fillId="0" borderId="1" xfId="0" applyBorder="1" applyAlignment="1">
      <alignment/>
    </xf>
    <xf numFmtId="0" fontId="0" fillId="2" borderId="0" xfId="0" applyFill="1" applyBorder="1" applyAlignment="1" applyProtection="1">
      <alignment horizontal="center" vertical="center" wrapText="1"/>
      <protection/>
    </xf>
    <xf numFmtId="0" fontId="36" fillId="3" borderId="12" xfId="0" applyFont="1" applyFill="1" applyBorder="1" applyAlignment="1" applyProtection="1">
      <alignment/>
      <protection/>
    </xf>
    <xf numFmtId="0" fontId="36" fillId="3" borderId="13" xfId="0" applyFont="1" applyFill="1" applyBorder="1" applyAlignment="1" applyProtection="1">
      <alignment/>
      <protection/>
    </xf>
    <xf numFmtId="0" fontId="36" fillId="3" borderId="14" xfId="0" applyFont="1" applyFill="1" applyBorder="1" applyAlignment="1" applyProtection="1">
      <alignment/>
      <protection/>
    </xf>
    <xf numFmtId="164" fontId="0" fillId="2" borderId="37" xfId="0" applyNumberFormat="1" applyFill="1" applyBorder="1" applyAlignment="1">
      <alignment/>
    </xf>
    <xf numFmtId="0" fontId="0" fillId="2" borderId="27" xfId="0" applyFill="1" applyBorder="1" applyAlignment="1" applyProtection="1">
      <alignment/>
      <protection/>
    </xf>
    <xf numFmtId="0" fontId="8" fillId="2" borderId="27" xfId="0" applyFont="1" applyFill="1" applyBorder="1" applyAlignment="1" applyProtection="1">
      <alignment horizontal="right"/>
      <protection/>
    </xf>
    <xf numFmtId="0" fontId="0" fillId="0" borderId="0" xfId="0" applyBorder="1" applyAlignment="1">
      <alignment/>
    </xf>
    <xf numFmtId="0" fontId="0" fillId="10" borderId="0" xfId="0" applyFill="1" applyBorder="1" applyAlignment="1">
      <alignment/>
    </xf>
    <xf numFmtId="0" fontId="0" fillId="2" borderId="0" xfId="0" applyFill="1" applyBorder="1" applyAlignment="1" applyProtection="1">
      <alignment horizontal="left"/>
      <protection/>
    </xf>
    <xf numFmtId="0" fontId="0" fillId="2" borderId="37" xfId="0" applyFill="1" applyBorder="1" applyAlignment="1" applyProtection="1">
      <alignment horizontal="left"/>
      <protection/>
    </xf>
    <xf numFmtId="0" fontId="0" fillId="12" borderId="0" xfId="0" applyFill="1" applyBorder="1" applyAlignment="1">
      <alignment/>
    </xf>
    <xf numFmtId="0" fontId="10" fillId="7" borderId="22" xfId="0" applyFont="1" applyFill="1" applyBorder="1" applyAlignment="1" applyProtection="1">
      <alignment horizontal="center" wrapText="1"/>
      <protection locked="0"/>
    </xf>
    <xf numFmtId="0" fontId="10" fillId="7" borderId="23" xfId="0" applyFont="1" applyFill="1" applyBorder="1" applyAlignment="1" applyProtection="1">
      <alignment horizontal="center" wrapText="1"/>
      <protection locked="0"/>
    </xf>
    <xf numFmtId="0" fontId="0" fillId="12" borderId="13" xfId="0" applyFill="1" applyBorder="1" applyAlignment="1" applyProtection="1">
      <alignment/>
      <protection locked="0"/>
    </xf>
    <xf numFmtId="0" fontId="0" fillId="12" borderId="6" xfId="0" applyFill="1" applyBorder="1" applyAlignment="1" applyProtection="1">
      <alignment/>
      <protection locked="0"/>
    </xf>
    <xf numFmtId="0" fontId="0" fillId="12" borderId="8" xfId="0" applyFill="1" applyBorder="1" applyAlignment="1" applyProtection="1">
      <alignment/>
      <protection/>
    </xf>
    <xf numFmtId="0" fontId="0" fillId="12" borderId="9" xfId="0" applyFill="1" applyBorder="1" applyAlignment="1" applyProtection="1">
      <alignment/>
      <protection/>
    </xf>
    <xf numFmtId="0" fontId="48" fillId="12" borderId="9" xfId="0" applyFont="1" applyFill="1" applyBorder="1" applyAlignment="1" applyProtection="1">
      <alignment horizontal="right"/>
      <protection/>
    </xf>
    <xf numFmtId="0" fontId="0" fillId="12" borderId="10" xfId="0" applyFill="1" applyBorder="1" applyAlignment="1" applyProtection="1">
      <alignment/>
      <protection/>
    </xf>
    <xf numFmtId="0" fontId="0" fillId="12" borderId="24" xfId="0" applyFill="1" applyBorder="1" applyAlignment="1" applyProtection="1">
      <alignment/>
      <protection/>
    </xf>
    <xf numFmtId="0" fontId="0" fillId="12" borderId="0" xfId="0" applyFill="1" applyBorder="1" applyAlignment="1" applyProtection="1">
      <alignment/>
      <protection/>
    </xf>
    <xf numFmtId="0" fontId="0" fillId="12" borderId="25" xfId="0" applyFill="1" applyBorder="1" applyAlignment="1" applyProtection="1">
      <alignment/>
      <protection/>
    </xf>
    <xf numFmtId="0" fontId="1" fillId="12" borderId="0" xfId="0" applyFont="1" applyFill="1" applyBorder="1" applyAlignment="1" applyProtection="1">
      <alignment horizontal="right"/>
      <protection/>
    </xf>
    <xf numFmtId="0" fontId="0" fillId="12" borderId="13" xfId="0" applyFill="1" applyBorder="1" applyAlignment="1" applyProtection="1">
      <alignment/>
      <protection/>
    </xf>
    <xf numFmtId="0" fontId="0" fillId="12" borderId="6" xfId="0" applyFill="1" applyBorder="1" applyAlignment="1" applyProtection="1">
      <alignment/>
      <protection/>
    </xf>
    <xf numFmtId="0" fontId="0" fillId="12" borderId="12" xfId="0" applyFill="1" applyBorder="1" applyAlignment="1" applyProtection="1">
      <alignment/>
      <protection/>
    </xf>
    <xf numFmtId="0" fontId="0" fillId="12" borderId="13" xfId="0" applyFill="1" applyBorder="1" applyAlignment="1" applyProtection="1">
      <alignment horizontal="right"/>
      <protection/>
    </xf>
    <xf numFmtId="0" fontId="0" fillId="12" borderId="14" xfId="0" applyFill="1" applyBorder="1" applyAlignment="1" applyProtection="1">
      <alignment/>
      <protection/>
    </xf>
    <xf numFmtId="0" fontId="0" fillId="12" borderId="46" xfId="0" applyFill="1" applyBorder="1" applyAlignment="1" applyProtection="1">
      <alignment/>
      <protection/>
    </xf>
    <xf numFmtId="0" fontId="0" fillId="12" borderId="47" xfId="0" applyFill="1" applyBorder="1" applyAlignment="1" applyProtection="1">
      <alignment horizontal="center"/>
      <protection/>
    </xf>
    <xf numFmtId="0" fontId="0" fillId="0" borderId="25" xfId="0" applyFill="1" applyBorder="1" applyAlignment="1" applyProtection="1">
      <alignment/>
      <protection/>
    </xf>
    <xf numFmtId="165" fontId="0" fillId="0" borderId="0" xfId="0" applyNumberFormat="1" applyAlignment="1" applyProtection="1">
      <alignment/>
      <protection/>
    </xf>
    <xf numFmtId="182" fontId="0" fillId="12" borderId="13" xfId="0" applyNumberFormat="1" applyFill="1" applyBorder="1" applyAlignment="1" applyProtection="1">
      <alignment horizontal="left"/>
      <protection locked="0"/>
    </xf>
    <xf numFmtId="18" fontId="0" fillId="12" borderId="6" xfId="0" applyNumberFormat="1" applyFill="1" applyBorder="1" applyAlignment="1" applyProtection="1">
      <alignment horizontal="left"/>
      <protection locked="0"/>
    </xf>
    <xf numFmtId="49" fontId="0" fillId="12" borderId="6" xfId="0" applyNumberFormat="1" applyFill="1" applyBorder="1" applyAlignment="1" applyProtection="1">
      <alignment horizontal="left"/>
      <protection locked="0"/>
    </xf>
    <xf numFmtId="49" fontId="0" fillId="12" borderId="13" xfId="0" applyNumberFormat="1" applyFill="1" applyBorder="1" applyAlignment="1" applyProtection="1">
      <alignment horizontal="left"/>
      <protection locked="0"/>
    </xf>
    <xf numFmtId="0" fontId="5" fillId="0" borderId="1" xfId="0" applyFont="1" applyFill="1" applyBorder="1" applyAlignment="1">
      <alignment/>
    </xf>
    <xf numFmtId="0" fontId="8" fillId="3" borderId="5" xfId="0" applyFont="1" applyFill="1" applyBorder="1" applyAlignment="1">
      <alignment horizontal="centerContinuous" vertical="center"/>
    </xf>
    <xf numFmtId="0" fontId="8" fillId="3" borderId="6" xfId="0" applyFont="1" applyFill="1" applyBorder="1" applyAlignment="1">
      <alignment horizontal="centerContinuous" vertical="center"/>
    </xf>
    <xf numFmtId="0" fontId="8" fillId="3" borderId="3" xfId="0" applyFont="1" applyFill="1" applyBorder="1" applyAlignment="1">
      <alignment horizontal="centerContinuous" vertical="center"/>
    </xf>
    <xf numFmtId="165" fontId="0" fillId="0" borderId="0" xfId="0" applyNumberFormat="1" applyFill="1" applyAlignment="1" applyProtection="1">
      <alignment/>
      <protection/>
    </xf>
    <xf numFmtId="0" fontId="5" fillId="0" borderId="0" xfId="142" applyFont="1">
      <alignment horizontal="right"/>
    </xf>
    <xf numFmtId="0" fontId="1" fillId="0" borderId="13" xfId="0" applyFont="1" applyFill="1" applyBorder="1" applyAlignment="1">
      <alignment/>
    </xf>
    <xf numFmtId="0" fontId="0" fillId="0" borderId="13" xfId="0" applyFill="1" applyBorder="1" applyAlignment="1">
      <alignment/>
    </xf>
    <xf numFmtId="1" fontId="16" fillId="2" borderId="1" xfId="139">
      <alignment horizontal="right"/>
      <protection/>
    </xf>
    <xf numFmtId="1" fontId="14" fillId="3" borderId="1" xfId="146" applyBorder="1">
      <alignment horizontal="right"/>
      <protection/>
    </xf>
    <xf numFmtId="164" fontId="0" fillId="2" borderId="37" xfId="0" applyNumberFormat="1" applyFill="1" applyBorder="1" applyAlignment="1" applyProtection="1">
      <alignment/>
      <protection locked="0"/>
    </xf>
    <xf numFmtId="0" fontId="0" fillId="0" borderId="6" xfId="0" applyFill="1" applyBorder="1" applyAlignment="1">
      <alignment/>
    </xf>
    <xf numFmtId="0" fontId="1" fillId="0" borderId="1" xfId="0" applyFont="1" applyFill="1" applyBorder="1" applyAlignment="1">
      <alignment/>
    </xf>
    <xf numFmtId="0" fontId="1" fillId="0" borderId="1" xfId="0" applyFont="1" applyFill="1" applyBorder="1" applyAlignment="1">
      <alignment/>
    </xf>
    <xf numFmtId="0" fontId="1" fillId="0" borderId="6" xfId="0" applyFont="1" applyFill="1" applyBorder="1" applyAlignment="1">
      <alignment/>
    </xf>
    <xf numFmtId="15" fontId="0" fillId="0" borderId="4" xfId="0" applyNumberFormat="1" applyFill="1" applyBorder="1" applyAlignment="1">
      <alignment/>
    </xf>
    <xf numFmtId="0" fontId="0" fillId="0" borderId="11" xfId="0" applyFill="1" applyBorder="1" applyAlignment="1">
      <alignment/>
    </xf>
    <xf numFmtId="15" fontId="0" fillId="0" borderId="4" xfId="0" applyNumberFormat="1" applyBorder="1" applyAlignment="1">
      <alignment/>
    </xf>
    <xf numFmtId="0" fontId="0" fillId="0" borderId="7" xfId="0" applyBorder="1" applyAlignment="1">
      <alignment/>
    </xf>
    <xf numFmtId="0" fontId="0" fillId="0" borderId="11" xfId="0" applyBorder="1" applyAlignment="1">
      <alignment/>
    </xf>
    <xf numFmtId="0" fontId="0" fillId="0" borderId="7" xfId="0" applyBorder="1" applyAlignment="1" quotePrefix="1">
      <alignment/>
    </xf>
    <xf numFmtId="0" fontId="0" fillId="0" borderId="11" xfId="0" applyBorder="1" applyAlignment="1" quotePrefix="1">
      <alignment/>
    </xf>
    <xf numFmtId="0" fontId="0" fillId="0" borderId="7" xfId="0" applyFont="1" applyFill="1" applyBorder="1" applyAlignment="1" quotePrefix="1">
      <alignment horizontal="center"/>
    </xf>
    <xf numFmtId="0" fontId="1" fillId="0" borderId="11" xfId="0" applyFont="1" applyFill="1" applyBorder="1" applyAlignment="1">
      <alignment horizontal="center"/>
    </xf>
    <xf numFmtId="0" fontId="0" fillId="0" borderId="7" xfId="0" applyBorder="1" applyAlignment="1" quotePrefix="1">
      <alignment horizontal="center"/>
    </xf>
    <xf numFmtId="0" fontId="0" fillId="0" borderId="3" xfId="0" applyFill="1" applyBorder="1" applyAlignment="1">
      <alignment/>
    </xf>
    <xf numFmtId="0" fontId="0" fillId="0" borderId="25" xfId="0" applyFill="1" applyBorder="1" applyAlignment="1">
      <alignment/>
    </xf>
    <xf numFmtId="0" fontId="0" fillId="0" borderId="14" xfId="0" applyFill="1" applyBorder="1" applyAlignment="1">
      <alignment/>
    </xf>
    <xf numFmtId="0" fontId="0" fillId="0" borderId="12" xfId="0" applyBorder="1" applyAlignment="1">
      <alignment/>
    </xf>
    <xf numFmtId="164" fontId="0" fillId="0" borderId="0" xfId="0" applyNumberFormat="1" applyAlignment="1">
      <alignment/>
    </xf>
    <xf numFmtId="2" fontId="19" fillId="0" borderId="0" xfId="149" applyNumberFormat="1" applyFill="1" applyBorder="1">
      <alignment horizontal="right"/>
      <protection/>
    </xf>
    <xf numFmtId="2" fontId="0" fillId="0" borderId="0" xfId="0" applyNumberFormat="1" applyFill="1" applyAlignment="1">
      <alignment/>
    </xf>
    <xf numFmtId="0" fontId="0" fillId="0" borderId="0" xfId="0" applyFill="1" applyAlignment="1">
      <alignment horizontal="center"/>
    </xf>
    <xf numFmtId="165" fontId="0" fillId="0" borderId="0" xfId="0" applyNumberFormat="1" applyFill="1" applyAlignment="1">
      <alignment/>
    </xf>
    <xf numFmtId="165" fontId="18" fillId="0" borderId="20" xfId="142" applyNumberFormat="1" applyFill="1" applyBorder="1" applyProtection="1">
      <alignment horizontal="right"/>
      <protection locked="0"/>
    </xf>
    <xf numFmtId="0" fontId="1" fillId="2" borderId="48" xfId="0" applyFont="1" applyFill="1" applyBorder="1" applyAlignment="1" applyProtection="1">
      <alignment horizontal="centerContinuous"/>
      <protection/>
    </xf>
    <xf numFmtId="0" fontId="1" fillId="2" borderId="49" xfId="0" applyFont="1" applyFill="1" applyBorder="1" applyAlignment="1" applyProtection="1">
      <alignment horizontal="centerContinuous"/>
      <protection/>
    </xf>
    <xf numFmtId="0" fontId="1" fillId="2" borderId="50" xfId="0" applyFont="1" applyFill="1" applyBorder="1" applyAlignment="1" applyProtection="1">
      <alignment horizontal="centerContinuous"/>
      <protection/>
    </xf>
    <xf numFmtId="0" fontId="0" fillId="2" borderId="19" xfId="0" applyFill="1" applyBorder="1" applyAlignment="1" applyProtection="1">
      <alignment/>
      <protection/>
    </xf>
    <xf numFmtId="0" fontId="1" fillId="2" borderId="1" xfId="0" applyFont="1" applyFill="1" applyBorder="1" applyAlignment="1" applyProtection="1">
      <alignment horizontal="center"/>
      <protection/>
    </xf>
    <xf numFmtId="0" fontId="1" fillId="2" borderId="20" xfId="0" applyFont="1" applyFill="1" applyBorder="1" applyAlignment="1" applyProtection="1">
      <alignment horizontal="center"/>
      <protection/>
    </xf>
    <xf numFmtId="0" fontId="1" fillId="2" borderId="19" xfId="0" applyFont="1" applyFill="1" applyBorder="1" applyAlignment="1" applyProtection="1">
      <alignment/>
      <protection/>
    </xf>
    <xf numFmtId="0" fontId="0" fillId="2" borderId="38" xfId="0" applyFill="1" applyBorder="1" applyAlignment="1" applyProtection="1">
      <alignment/>
      <protection/>
    </xf>
    <xf numFmtId="0" fontId="0" fillId="2" borderId="28" xfId="0" applyFill="1" applyBorder="1" applyAlignment="1" applyProtection="1">
      <alignment/>
      <protection/>
    </xf>
    <xf numFmtId="0" fontId="0" fillId="2" borderId="39" xfId="0" applyFill="1" applyBorder="1" applyAlignment="1" applyProtection="1">
      <alignment/>
      <protection/>
    </xf>
    <xf numFmtId="2" fontId="0" fillId="0" borderId="0" xfId="0" applyNumberFormat="1" applyAlignment="1" applyProtection="1">
      <alignment/>
      <protection/>
    </xf>
    <xf numFmtId="0" fontId="5" fillId="2" borderId="16" xfId="0" applyFont="1" applyFill="1" applyBorder="1" applyAlignment="1" applyProtection="1">
      <alignment horizontal="center"/>
      <protection/>
    </xf>
    <xf numFmtId="0" fontId="49" fillId="2" borderId="17" xfId="0" applyFont="1" applyFill="1" applyBorder="1" applyAlignment="1" applyProtection="1">
      <alignment horizontal="center" wrapText="1"/>
      <protection/>
    </xf>
    <xf numFmtId="0" fontId="49" fillId="2" borderId="17" xfId="0" applyFont="1" applyFill="1" applyBorder="1" applyAlignment="1" applyProtection="1">
      <alignment horizontal="left" wrapText="1"/>
      <protection/>
    </xf>
    <xf numFmtId="0" fontId="49" fillId="2" borderId="18" xfId="0" applyFont="1" applyFill="1" applyBorder="1" applyAlignment="1" applyProtection="1">
      <alignment horizontal="left" wrapText="1"/>
      <protection/>
    </xf>
    <xf numFmtId="0" fontId="21" fillId="2" borderId="19" xfId="0" applyFont="1" applyFill="1" applyBorder="1" applyAlignment="1" applyProtection="1">
      <alignment horizontal="center"/>
      <protection/>
    </xf>
    <xf numFmtId="0" fontId="21" fillId="2" borderId="21" xfId="0" applyFont="1" applyFill="1" applyBorder="1" applyAlignment="1" applyProtection="1">
      <alignment horizontal="center"/>
      <protection/>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24" xfId="0" applyFill="1" applyBorder="1" applyAlignment="1">
      <alignment/>
    </xf>
    <xf numFmtId="0" fontId="0" fillId="0" borderId="24" xfId="0" applyBorder="1" applyAlignment="1">
      <alignment/>
    </xf>
    <xf numFmtId="0" fontId="0" fillId="0" borderId="25" xfId="0" applyBorder="1" applyAlignment="1">
      <alignment/>
    </xf>
    <xf numFmtId="0" fontId="0" fillId="0" borderId="13" xfId="0" applyBorder="1" applyAlignment="1">
      <alignment/>
    </xf>
    <xf numFmtId="0" fontId="0" fillId="0" borderId="14"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4" xfId="0" applyBorder="1" applyAlignment="1">
      <alignment horizontal="center"/>
    </xf>
    <xf numFmtId="165" fontId="17" fillId="2" borderId="0" xfId="144" applyNumberFormat="1">
      <alignment horizontal="right"/>
      <protection/>
    </xf>
    <xf numFmtId="0" fontId="12" fillId="7" borderId="1" xfId="0" applyFont="1" applyFill="1" applyBorder="1" applyAlignment="1" applyProtection="1">
      <alignment horizontal="center" vertical="center"/>
      <protection/>
    </xf>
    <xf numFmtId="2" fontId="0" fillId="0" borderId="0" xfId="0" applyNumberFormat="1" applyAlignment="1">
      <alignment horizontal="right"/>
    </xf>
  </cellXfs>
  <cellStyles count="141">
    <cellStyle name="Normal" xfId="0"/>
    <cellStyle name="Comma" xfId="15"/>
    <cellStyle name="Comma [0]" xfId="16"/>
    <cellStyle name="Comma [0]_%Air Voids vs %AC" xfId="17"/>
    <cellStyle name="Comma [0]_%VFA vs %AC" xfId="18"/>
    <cellStyle name="Comma [0]_%VMA vs %AC" xfId="19"/>
    <cellStyle name="Comma [0]_Blend Densities 4" xfId="20"/>
    <cellStyle name="Comma [0]_Chart1" xfId="21"/>
    <cellStyle name="Comma [0]_Chart5" xfId="22"/>
    <cellStyle name="Comma [0]_CV #1 Chart 1" xfId="23"/>
    <cellStyle name="Comma [0]_Densification Report Chart 11" xfId="24"/>
    <cellStyle name="Comma [0]_Densification Report Chart 26" xfId="25"/>
    <cellStyle name="Comma [0]_Densification Report Chart 27" xfId="26"/>
    <cellStyle name="Comma [0]_Densification Report Chart 8" xfId="27"/>
    <cellStyle name="Comma [0]_Graphs Chart 1" xfId="28"/>
    <cellStyle name="Comma [0]_Graphs Chart 1-2" xfId="29"/>
    <cellStyle name="Comma [0]_Graphs Chart 2" xfId="30"/>
    <cellStyle name="Comma [0]_Graphs Chart 3" xfId="31"/>
    <cellStyle name="Comma [0]_Raw Height Data Chart 1" xfId="32"/>
    <cellStyle name="Comma [0]_Sheet2 Chart 1" xfId="33"/>
    <cellStyle name="Comma [0]_Small Blend Densities 1" xfId="34"/>
    <cellStyle name="Comma [0]_Specimen 1 Report (2) Chart 11" xfId="35"/>
    <cellStyle name="Comma [0]_Summary Report Chart 12" xfId="36"/>
    <cellStyle name="Comma [0]_Summary Report Chart 7" xfId="37"/>
    <cellStyle name="Comma [0]_Summary Report Chart 8" xfId="38"/>
    <cellStyle name="Comma [0]_Summary Report Chart 9" xfId="39"/>
    <cellStyle name="Comma [0]_Varying %AC Charts Chart 19" xfId="40"/>
    <cellStyle name="Comma [0]_Varying %AC Charts Chart 28" xfId="41"/>
    <cellStyle name="Comma [0]_Varying %AC Charts Chart 35" xfId="42"/>
    <cellStyle name="Comma [0]_Varying %AC Charts Chart 46" xfId="43"/>
    <cellStyle name="Comma [0]_Varying %AC Charts Chart 47" xfId="44"/>
    <cellStyle name="Comma [0]_Varying %AC Charts Chart 48" xfId="45"/>
    <cellStyle name="Comma [0]_Varying %AC Charts Chart 5" xfId="46"/>
    <cellStyle name="Comma_%Air Voids vs %AC" xfId="47"/>
    <cellStyle name="Comma_%VFA vs %AC" xfId="48"/>
    <cellStyle name="Comma_%VMA vs %AC" xfId="49"/>
    <cellStyle name="Comma_Blend Densities 4" xfId="50"/>
    <cellStyle name="Comma_Chart1" xfId="51"/>
    <cellStyle name="Comma_Chart5" xfId="52"/>
    <cellStyle name="Comma_CV #1 Chart 1" xfId="53"/>
    <cellStyle name="Comma_Densification Report Chart 11" xfId="54"/>
    <cellStyle name="Comma_Densification Report Chart 26" xfId="55"/>
    <cellStyle name="Comma_Densification Report Chart 27" xfId="56"/>
    <cellStyle name="Comma_Densification Report Chart 8" xfId="57"/>
    <cellStyle name="Comma_Graphs Chart 1" xfId="58"/>
    <cellStyle name="Comma_Graphs Chart 1-2" xfId="59"/>
    <cellStyle name="Comma_Graphs Chart 2" xfId="60"/>
    <cellStyle name="Comma_Graphs Chart 3" xfId="61"/>
    <cellStyle name="Comma_Raw Height Data Chart 1" xfId="62"/>
    <cellStyle name="Comma_Sheet2 Chart 1" xfId="63"/>
    <cellStyle name="Comma_Small Blend Densities 1" xfId="64"/>
    <cellStyle name="Comma_Specimen 1 Report (2) Chart 11" xfId="65"/>
    <cellStyle name="Comma_Summary Report Chart 12" xfId="66"/>
    <cellStyle name="Comma_Summary Report Chart 7" xfId="67"/>
    <cellStyle name="Comma_Summary Report Chart 8" xfId="68"/>
    <cellStyle name="Comma_Summary Report Chart 9" xfId="69"/>
    <cellStyle name="Comma_Varying %AC Charts Chart 19" xfId="70"/>
    <cellStyle name="Comma_Varying %AC Charts Chart 28" xfId="71"/>
    <cellStyle name="Comma_Varying %AC Charts Chart 35" xfId="72"/>
    <cellStyle name="Comma_Varying %AC Charts Chart 46" xfId="73"/>
    <cellStyle name="Comma_Varying %AC Charts Chart 47" xfId="74"/>
    <cellStyle name="Comma_Varying %AC Charts Chart 48" xfId="75"/>
    <cellStyle name="Comma_Varying %AC Charts Chart 5" xfId="76"/>
    <cellStyle name="Currency" xfId="77"/>
    <cellStyle name="Currency [0]" xfId="78"/>
    <cellStyle name="Currency [0]_%Air Voids vs %AC" xfId="79"/>
    <cellStyle name="Currency [0]_%VFA vs %AC" xfId="80"/>
    <cellStyle name="Currency [0]_%VMA vs %AC" xfId="81"/>
    <cellStyle name="Currency [0]_Blend Densities 4" xfId="82"/>
    <cellStyle name="Currency [0]_Chart1" xfId="83"/>
    <cellStyle name="Currency [0]_Chart5" xfId="84"/>
    <cellStyle name="Currency [0]_CV #1 Chart 1" xfId="85"/>
    <cellStyle name="Currency [0]_Densification Report Chart 11" xfId="86"/>
    <cellStyle name="Currency [0]_Densification Report Chart 26" xfId="87"/>
    <cellStyle name="Currency [0]_Densification Report Chart 27" xfId="88"/>
    <cellStyle name="Currency [0]_Densification Report Chart 8" xfId="89"/>
    <cellStyle name="Currency [0]_Graphs Chart 1" xfId="90"/>
    <cellStyle name="Currency [0]_Graphs Chart 1-2" xfId="91"/>
    <cellStyle name="Currency [0]_Graphs Chart 2" xfId="92"/>
    <cellStyle name="Currency [0]_Graphs Chart 3" xfId="93"/>
    <cellStyle name="Currency [0]_Raw Height Data Chart 1" xfId="94"/>
    <cellStyle name="Currency [0]_Sheet2 Chart 1" xfId="95"/>
    <cellStyle name="Currency [0]_Small Blend Densities 1" xfId="96"/>
    <cellStyle name="Currency [0]_Specimen 1 Report (2) Chart 11" xfId="97"/>
    <cellStyle name="Currency [0]_Summary Report Chart 12" xfId="98"/>
    <cellStyle name="Currency [0]_Summary Report Chart 7" xfId="99"/>
    <cellStyle name="Currency [0]_Summary Report Chart 8" xfId="100"/>
    <cellStyle name="Currency [0]_Summary Report Chart 9" xfId="101"/>
    <cellStyle name="Currency [0]_Varying %AC Charts Chart 19" xfId="102"/>
    <cellStyle name="Currency [0]_Varying %AC Charts Chart 28" xfId="103"/>
    <cellStyle name="Currency [0]_Varying %AC Charts Chart 35" xfId="104"/>
    <cellStyle name="Currency [0]_Varying %AC Charts Chart 46" xfId="105"/>
    <cellStyle name="Currency [0]_Varying %AC Charts Chart 47" xfId="106"/>
    <cellStyle name="Currency [0]_Varying %AC Charts Chart 48" xfId="107"/>
    <cellStyle name="Currency [0]_Varying %AC Charts Chart 5" xfId="108"/>
    <cellStyle name="Currency_%Air Voids vs %AC" xfId="109"/>
    <cellStyle name="Currency_%VFA vs %AC" xfId="110"/>
    <cellStyle name="Currency_%VMA vs %AC" xfId="111"/>
    <cellStyle name="Currency_Blend Densities 4" xfId="112"/>
    <cellStyle name="Currency_Chart1" xfId="113"/>
    <cellStyle name="Currency_Chart5" xfId="114"/>
    <cellStyle name="Currency_CV #1 Chart 1" xfId="115"/>
    <cellStyle name="Currency_Densification Report Chart 11" xfId="116"/>
    <cellStyle name="Currency_Densification Report Chart 26" xfId="117"/>
    <cellStyle name="Currency_Densification Report Chart 27" xfId="118"/>
    <cellStyle name="Currency_Densification Report Chart 8" xfId="119"/>
    <cellStyle name="Currency_Graphs Chart 1" xfId="120"/>
    <cellStyle name="Currency_Graphs Chart 1-2" xfId="121"/>
    <cellStyle name="Currency_Graphs Chart 2" xfId="122"/>
    <cellStyle name="Currency_Graphs Chart 3" xfId="123"/>
    <cellStyle name="Currency_Raw Height Data Chart 1" xfId="124"/>
    <cellStyle name="Currency_Sheet2 Chart 1" xfId="125"/>
    <cellStyle name="Currency_Small Blend Densities 1" xfId="126"/>
    <cellStyle name="Currency_Specimen 1 Report (2) Chart 11" xfId="127"/>
    <cellStyle name="Currency_Summary Report Chart 12" xfId="128"/>
    <cellStyle name="Currency_Summary Report Chart 7" xfId="129"/>
    <cellStyle name="Currency_Summary Report Chart 8" xfId="130"/>
    <cellStyle name="Currency_Summary Report Chart 9" xfId="131"/>
    <cellStyle name="Currency_Varying %AC Charts Chart 19" xfId="132"/>
    <cellStyle name="Currency_Varying %AC Charts Chart 28" xfId="133"/>
    <cellStyle name="Currency_Varying %AC Charts Chart 35" xfId="134"/>
    <cellStyle name="Currency_Varying %AC Charts Chart 46" xfId="135"/>
    <cellStyle name="Currency_Varying %AC Charts Chart 47" xfId="136"/>
    <cellStyle name="Currency_Varying %AC Charts Chart 48" xfId="137"/>
    <cellStyle name="Currency_Varying %AC Charts Chart 5" xfId="138"/>
    <cellStyle name="Disabled Cells" xfId="139"/>
    <cellStyle name="Heading Text" xfId="140"/>
    <cellStyle name="HiddenTable" xfId="141"/>
    <cellStyle name="Input Cells" xfId="142"/>
    <cellStyle name="Input Cells with borders" xfId="143"/>
    <cellStyle name="Invisible" xfId="144"/>
    <cellStyle name="NLabelCell" xfId="145"/>
    <cellStyle name="Output Cells" xfId="146"/>
    <cellStyle name="Output Cells with borders" xfId="147"/>
    <cellStyle name="Percent" xfId="148"/>
    <cellStyle name="Report Output Cells" xfId="149"/>
    <cellStyle name="Semi-Hidden" xfId="150"/>
    <cellStyle name="UnhiddenTable" xfId="151"/>
    <cellStyle name="Unlocked Input Cells" xfId="152"/>
    <cellStyle name="Visible Text" xfId="153"/>
    <cellStyle name="Visible Text with borders" xfId="1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%Gmm vs. Gyrations</a:t>
            </a:r>
          </a:p>
        </c:rich>
      </c:tx>
      <c:layout>
        <c:manualLayout>
          <c:xMode val="factor"/>
          <c:yMode val="factor"/>
          <c:x val="-0.1245"/>
          <c:y val="-0.0205"/>
        </c:manualLayout>
      </c:layout>
      <c:spPr>
        <a:noFill/>
        <a:ln>
          <a:noFill/>
        </a:ln>
      </c:spPr>
    </c:title>
    <c:plotArea>
      <c:layout>
        <c:manualLayout>
          <c:xMode val="edge"/>
          <c:yMode val="edge"/>
          <c:x val="0.19975"/>
          <c:y val="0.07325"/>
          <c:w val="0.73475"/>
          <c:h val="0.851"/>
        </c:manualLayout>
      </c:layout>
      <c:scatterChart>
        <c:scatterStyle val="smooth"/>
        <c:varyColors val="0"/>
        <c:ser>
          <c:idx val="0"/>
          <c:order val="0"/>
          <c:tx>
            <c:strRef>
              <c:f>'Densification Report'!$A$8</c:f>
              <c:strCache>
                <c:ptCount val="1"/>
                <c:pt idx="0">
                  <c:v>4.3% AC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'Densification Report'!$A$12:$A$14</c:f>
              <c:numCache>
                <c:ptCount val="3"/>
                <c:pt idx="0">
                  <c:v>7</c:v>
                </c:pt>
                <c:pt idx="1">
                  <c:v>75</c:v>
                </c:pt>
                <c:pt idx="2">
                  <c:v>115</c:v>
                </c:pt>
              </c:numCache>
            </c:numRef>
          </c:xVal>
          <c:yVal>
            <c:numRef>
              <c:f>'Densification Report'!$K$12:$K$14</c:f>
              <c:numCache>
                <c:ptCount val="3"/>
                <c:pt idx="0">
                  <c:v>81.23931909651702</c:v>
                </c:pt>
                <c:pt idx="1">
                  <c:v>90.80516529182512</c:v>
                </c:pt>
                <c:pt idx="2">
                  <c:v>94.57165416502171</c:v>
                </c:pt>
              </c:numCache>
            </c:numRef>
          </c:yVal>
          <c:smooth val="1"/>
        </c:ser>
        <c:ser>
          <c:idx val="1"/>
          <c:order val="1"/>
          <c:tx>
            <c:strRef>
              <c:f>'Densification Report'!$A$19</c:f>
              <c:strCache>
                <c:ptCount val="1"/>
                <c:pt idx="0">
                  <c:v>4.8% AC</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Report'!$K$23:$K$25</c:f>
              <c:numCache>
                <c:ptCount val="3"/>
                <c:pt idx="0">
                  <c:v>84.51520638213702</c:v>
                </c:pt>
                <c:pt idx="1">
                  <c:v>94.7746391720874</c:v>
                </c:pt>
                <c:pt idx="2">
                  <c:v>96.14160700079555</c:v>
                </c:pt>
              </c:numCache>
            </c:numRef>
          </c:yVal>
          <c:smooth val="1"/>
        </c:ser>
        <c:ser>
          <c:idx val="2"/>
          <c:order val="2"/>
          <c:tx>
            <c:strRef>
              <c:f>'Densification Report'!$A$30</c:f>
              <c:strCache>
                <c:ptCount val="1"/>
                <c:pt idx="0">
                  <c:v>5.3% AC</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Report'!$K$34:$K$36</c:f>
              <c:numCache>
                <c:ptCount val="3"/>
                <c:pt idx="0">
                  <c:v>86.13217125466178</c:v>
                </c:pt>
                <c:pt idx="1">
                  <c:v>96.13995480025937</c:v>
                </c:pt>
                <c:pt idx="2">
                  <c:v>97.65531062124248</c:v>
                </c:pt>
              </c:numCache>
            </c:numRef>
          </c:yVal>
          <c:smooth val="1"/>
        </c:ser>
        <c:ser>
          <c:idx val="3"/>
          <c:order val="3"/>
          <c:tx>
            <c:strRef>
              <c:f>'Densification Report'!$A$41</c:f>
              <c:strCache>
                <c:ptCount val="1"/>
                <c:pt idx="0">
                  <c:v>5.8% AC</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Report'!$K$45:$K$47</c:f>
              <c:numCache>
                <c:ptCount val="3"/>
                <c:pt idx="0">
                  <c:v>86.49472602023519</c:v>
                </c:pt>
                <c:pt idx="1">
                  <c:v>96.74903428992417</c:v>
                </c:pt>
                <c:pt idx="2">
                  <c:v>98.00161485668147</c:v>
                </c:pt>
              </c:numCache>
            </c:numRef>
          </c:yVal>
          <c:smooth val="1"/>
        </c:ser>
        <c:ser>
          <c:idx val="4"/>
          <c:order val="4"/>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Calculations!$C$40:$C$41</c:f>
              <c:numCache>
                <c:ptCount val="2"/>
                <c:pt idx="0">
                  <c:v>1</c:v>
                </c:pt>
                <c:pt idx="1">
                  <c:v>1000</c:v>
                </c:pt>
              </c:numCache>
            </c:numRef>
          </c:xVal>
          <c:yVal>
            <c:numRef>
              <c:f>Calculations!$D$40:$D$41</c:f>
              <c:numCache>
                <c:ptCount val="2"/>
                <c:pt idx="0">
                  <c:v>90.5</c:v>
                </c:pt>
                <c:pt idx="1">
                  <c:v>90.5</c:v>
                </c:pt>
              </c:numCache>
            </c:numRef>
          </c:yVal>
          <c:smooth val="1"/>
        </c:ser>
        <c:ser>
          <c:idx val="5"/>
          <c:order val="5"/>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Calculations!$C$40:$C$41</c:f>
              <c:numCache>
                <c:ptCount val="2"/>
                <c:pt idx="0">
                  <c:v>1</c:v>
                </c:pt>
                <c:pt idx="1">
                  <c:v>1000</c:v>
                </c:pt>
              </c:numCache>
            </c:numRef>
          </c:xVal>
          <c:yVal>
            <c:numRef>
              <c:f>Calculations!$E$40:$E$41</c:f>
              <c:numCache>
                <c:ptCount val="2"/>
                <c:pt idx="0">
                  <c:v>96</c:v>
                </c:pt>
                <c:pt idx="1">
                  <c:v>96</c:v>
                </c:pt>
              </c:numCache>
            </c:numRef>
          </c:yVal>
          <c:smooth val="1"/>
        </c:ser>
        <c:ser>
          <c:idx val="6"/>
          <c:order val="6"/>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Calculations!$C$40:$C$41</c:f>
              <c:numCache>
                <c:ptCount val="2"/>
                <c:pt idx="0">
                  <c:v>1</c:v>
                </c:pt>
                <c:pt idx="1">
                  <c:v>1000</c:v>
                </c:pt>
              </c:numCache>
            </c:numRef>
          </c:xVal>
          <c:yVal>
            <c:numRef>
              <c:f>Calculations!$F$40:$F$41</c:f>
              <c:numCache>
                <c:ptCount val="2"/>
                <c:pt idx="0">
                  <c:v>98</c:v>
                </c:pt>
                <c:pt idx="1">
                  <c:v>98</c:v>
                </c:pt>
              </c:numCache>
            </c:numRef>
          </c:yVal>
          <c:smooth val="1"/>
        </c:ser>
        <c:ser>
          <c:idx val="7"/>
          <c:order val="7"/>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Calculations!$C$44:$C$45</c:f>
              <c:numCache>
                <c:ptCount val="2"/>
                <c:pt idx="0">
                  <c:v>7</c:v>
                </c:pt>
                <c:pt idx="1">
                  <c:v>7</c:v>
                </c:pt>
              </c:numCache>
            </c:numRef>
          </c:xVal>
          <c:yVal>
            <c:numRef>
              <c:f>Calculations!$D$44:$D$45</c:f>
              <c:numCache>
                <c:ptCount val="2"/>
                <c:pt idx="0">
                  <c:v>80</c:v>
                </c:pt>
                <c:pt idx="1">
                  <c:v>89</c:v>
                </c:pt>
              </c:numCache>
            </c:numRef>
          </c:yVal>
          <c:smooth val="1"/>
        </c:ser>
        <c:ser>
          <c:idx val="9"/>
          <c:order val="8"/>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Calculations!$G$44:$G$45</c:f>
              <c:numCache>
                <c:ptCount val="2"/>
                <c:pt idx="0">
                  <c:v>115</c:v>
                </c:pt>
                <c:pt idx="1">
                  <c:v>115</c:v>
                </c:pt>
              </c:numCache>
            </c:numRef>
          </c:xVal>
          <c:yVal>
            <c:numRef>
              <c:f>Calculations!$H$44:$H$45</c:f>
              <c:numCache>
                <c:ptCount val="2"/>
                <c:pt idx="0">
                  <c:v>80</c:v>
                </c:pt>
                <c:pt idx="1">
                  <c:v>98</c:v>
                </c:pt>
              </c:numCache>
            </c:numRef>
          </c:yVal>
          <c:smooth val="1"/>
        </c:ser>
        <c:ser>
          <c:idx val="8"/>
          <c:order val="9"/>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Calculations!$E$44:$E$45</c:f>
              <c:numCache>
                <c:ptCount val="2"/>
                <c:pt idx="0">
                  <c:v>75</c:v>
                </c:pt>
                <c:pt idx="1">
                  <c:v>75</c:v>
                </c:pt>
              </c:numCache>
            </c:numRef>
          </c:xVal>
          <c:yVal>
            <c:numRef>
              <c:f>Calculations!$F$44:$F$45</c:f>
              <c:numCache>
                <c:ptCount val="2"/>
                <c:pt idx="0">
                  <c:v>80</c:v>
                </c:pt>
                <c:pt idx="1">
                  <c:v>96</c:v>
                </c:pt>
              </c:numCache>
            </c:numRef>
          </c:yVal>
          <c:smooth val="1"/>
        </c:ser>
        <c:axId val="2424237"/>
        <c:axId val="21818134"/>
      </c:scatterChart>
      <c:valAx>
        <c:axId val="2424237"/>
        <c:scaling>
          <c:logBase val="10"/>
          <c:orientation val="minMax"/>
        </c:scaling>
        <c:axPos val="b"/>
        <c:title>
          <c:tx>
            <c:rich>
              <a:bodyPr vert="horz" rot="0" anchor="b"/>
              <a:lstStyle/>
              <a:p>
                <a:pPr algn="ctr">
                  <a:defRPr/>
                </a:pPr>
                <a:r>
                  <a:rPr lang="en-US" cap="none" sz="800" b="1" i="0" u="none" baseline="0">
                    <a:latin typeface="Arial"/>
                    <a:ea typeface="Arial"/>
                    <a:cs typeface="Arial"/>
                  </a:rPr>
                  <a:t>Number of Gyrations</a:t>
                </a:r>
              </a:p>
            </c:rich>
          </c:tx>
          <c:layout>
            <c:manualLayout>
              <c:xMode val="factor"/>
              <c:yMode val="factor"/>
              <c:x val="0.007"/>
              <c:y val="0.00125"/>
            </c:manualLayout>
          </c:layout>
          <c:overlay val="0"/>
          <c:spPr>
            <a:noFill/>
            <a:ln>
              <a:noFill/>
            </a:ln>
          </c:spPr>
        </c:title>
        <c:delete val="0"/>
        <c:numFmt formatCode="General" sourceLinked="1"/>
        <c:majorTickMark val="in"/>
        <c:minorTickMark val="none"/>
        <c:tickLblPos val="nextTo"/>
        <c:crossAx val="21818134"/>
        <c:crosses val="autoZero"/>
        <c:crossBetween val="midCat"/>
        <c:dispUnits/>
      </c:valAx>
      <c:valAx>
        <c:axId val="21818134"/>
        <c:scaling>
          <c:orientation val="minMax"/>
          <c:max val="100"/>
          <c:min val="80"/>
        </c:scaling>
        <c:axPos val="l"/>
        <c:title>
          <c:tx>
            <c:rich>
              <a:bodyPr vert="horz" rot="-5400000" anchor="ctr"/>
              <a:lstStyle/>
              <a:p>
                <a:pPr algn="ctr">
                  <a:defRPr/>
                </a:pPr>
                <a:r>
                  <a:rPr lang="en-US" cap="none" sz="800" b="1" i="0" u="none" baseline="0">
                    <a:latin typeface="Arial"/>
                    <a:ea typeface="Arial"/>
                    <a:cs typeface="Arial"/>
                  </a:rPr>
                  <a:t>%Max. Theoretical Density</a:t>
                </a:r>
              </a:p>
            </c:rich>
          </c:tx>
          <c:layout/>
          <c:overlay val="0"/>
          <c:spPr>
            <a:noFill/>
            <a:ln>
              <a:noFill/>
            </a:ln>
          </c:spPr>
        </c:title>
        <c:delete val="0"/>
        <c:numFmt formatCode="General" sourceLinked="1"/>
        <c:majorTickMark val="in"/>
        <c:minorTickMark val="none"/>
        <c:tickLblPos val="nextTo"/>
        <c:crossAx val="2424237"/>
        <c:crosses val="autoZero"/>
        <c:crossBetween val="midCat"/>
        <c:dispUnits/>
        <c:majorUnit val="2"/>
      </c:valAx>
      <c:spPr>
        <a:solidFill>
          <a:srgbClr val="FFFFFF"/>
        </a:solidFill>
        <a:ln w="3175">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76675"/>
          <c:y val="0.63675"/>
          <c:w val="0.1325"/>
          <c:h val="0.17725"/>
        </c:manualLayout>
      </c:layout>
      <c:overlay val="0"/>
      <c:spPr>
        <a:solidFill>
          <a:srgbClr val="FFFFFF"/>
        </a:solidFill>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%Air Voids vs. %Binder</a:t>
            </a:r>
          </a:p>
        </c:rich>
      </c:tx>
      <c:layout>
        <c:manualLayout>
          <c:xMode val="factor"/>
          <c:yMode val="factor"/>
          <c:x val="0.0055"/>
          <c:y val="-0.0215"/>
        </c:manualLayout>
      </c:layout>
      <c:spPr>
        <a:noFill/>
        <a:ln>
          <a:noFill/>
        </a:ln>
      </c:spPr>
    </c:title>
    <c:plotArea>
      <c:layout>
        <c:manualLayout>
          <c:xMode val="edge"/>
          <c:yMode val="edge"/>
          <c:x val="0.0375"/>
          <c:y val="0.04275"/>
          <c:w val="0.95125"/>
          <c:h val="0.8745"/>
        </c:manualLayout>
      </c:layout>
      <c:scatterChart>
        <c:scatterStyle val="smooth"/>
        <c:varyColors val="0"/>
        <c:ser>
          <c:idx val="0"/>
          <c:order val="0"/>
          <c:tx>
            <c:v>'@Nmax'</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'Varying %AC Report'!$B$37:$B$40</c:f>
              <c:numCache>
                <c:ptCount val="4"/>
                <c:pt idx="0">
                  <c:v>#N/A</c:v>
                </c:pt>
                <c:pt idx="1">
                  <c:v>#N/A</c:v>
                </c:pt>
                <c:pt idx="2">
                  <c:v>#N/A</c:v>
                </c:pt>
                <c:pt idx="3">
                  <c:v>#N/A</c:v>
                </c:pt>
              </c:numCache>
            </c:numRef>
          </c:xVal>
          <c:yVal>
            <c:numRef>
              <c:f>'Varying %AC Report'!$C$37:$C$40</c:f>
              <c:numCache>
                <c:ptCount val="4"/>
                <c:pt idx="0">
                  <c:v>0</c:v>
                </c:pt>
                <c:pt idx="1">
                  <c:v>0</c:v>
                </c:pt>
                <c:pt idx="2">
                  <c:v>0</c:v>
                </c:pt>
                <c:pt idx="3">
                  <c:v>0</c:v>
                </c:pt>
              </c:numCache>
            </c:numRef>
          </c:yVal>
          <c:smooth val="1"/>
        </c:ser>
        <c:ser>
          <c:idx val="1"/>
          <c:order val="1"/>
          <c:tx>
            <c:v>'@Ndes'</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'Varying %AC Report'!$B$37:$B$40</c:f>
              <c:numCache>
                <c:ptCount val="4"/>
                <c:pt idx="0">
                  <c:v>#N/A</c:v>
                </c:pt>
                <c:pt idx="1">
                  <c:v>#N/A</c:v>
                </c:pt>
                <c:pt idx="2">
                  <c:v>#N/A</c:v>
                </c:pt>
                <c:pt idx="3">
                  <c:v>#N/A</c:v>
                </c:pt>
              </c:numCache>
            </c:numRef>
          </c:xVal>
          <c:yVal>
            <c:numRef>
              <c:f>'Varying %AC Report'!$D$37:$D$40</c:f>
              <c:numCache>
                <c:ptCount val="4"/>
                <c:pt idx="0">
                  <c:v>0</c:v>
                </c:pt>
                <c:pt idx="1">
                  <c:v>0</c:v>
                </c:pt>
                <c:pt idx="2">
                  <c:v>0</c:v>
                </c:pt>
                <c:pt idx="3">
                  <c:v>0</c:v>
                </c:pt>
              </c:numCache>
            </c:numRef>
          </c:yVal>
          <c:smooth val="1"/>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Calculations!$G$36:$G$37</c:f>
              <c:numCache>
                <c:ptCount val="2"/>
                <c:pt idx="0">
                  <c:v>4</c:v>
                </c:pt>
                <c:pt idx="1">
                  <c:v>4</c:v>
                </c:pt>
              </c:numCache>
            </c:numRef>
          </c:yVal>
          <c:smooth val="1"/>
        </c:ser>
        <c:axId val="30810391"/>
        <c:axId val="8858064"/>
      </c:scatterChart>
      <c:valAx>
        <c:axId val="30810391"/>
        <c:scaling>
          <c:orientation val="minMax"/>
          <c:max val="6"/>
          <c:min val="4"/>
        </c:scaling>
        <c:axPos val="b"/>
        <c:title>
          <c:tx>
            <c:rich>
              <a:bodyPr vert="horz" rot="0" anchor="ctr"/>
              <a:lstStyle/>
              <a:p>
                <a:pPr algn="ctr">
                  <a:defRPr/>
                </a:pPr>
                <a:r>
                  <a:rPr lang="en-US" cap="none" sz="800" b="1" i="0" u="none" baseline="0">
                    <a:latin typeface="Arial"/>
                    <a:ea typeface="Arial"/>
                    <a:cs typeface="Arial"/>
                  </a:rPr>
                  <a:t>% Asphalt Binder</a:t>
                </a:r>
              </a:p>
            </c:rich>
          </c:tx>
          <c:layout>
            <c:manualLayout>
              <c:xMode val="factor"/>
              <c:yMode val="factor"/>
              <c:x val="-0.00175"/>
              <c:y val="0"/>
            </c:manualLayout>
          </c:layout>
          <c:overlay val="0"/>
          <c:spPr>
            <a:noFill/>
            <a:ln>
              <a:noFill/>
            </a:ln>
          </c:spPr>
        </c:title>
        <c:majorGridlines/>
        <c:minorGridlines>
          <c:spPr>
            <a:ln w="3175">
              <a:solidFill>
                <a:srgbClr val="969696"/>
              </a:solidFill>
            </a:ln>
          </c:spPr>
        </c:minorGridlines>
        <c:delete val="0"/>
        <c:numFmt formatCode="0.0" sourceLinked="0"/>
        <c:majorTickMark val="cross"/>
        <c:minorTickMark val="cross"/>
        <c:tickLblPos val="nextTo"/>
        <c:crossAx val="8858064"/>
        <c:crosses val="autoZero"/>
        <c:crossBetween val="midCat"/>
        <c:dispUnits/>
        <c:majorUnit val="0.5"/>
      </c:valAx>
      <c:valAx>
        <c:axId val="8858064"/>
        <c:scaling>
          <c:orientation val="minMax"/>
          <c:max val="8"/>
          <c:min val="2"/>
        </c:scaling>
        <c:axPos val="l"/>
        <c:title>
          <c:tx>
            <c:rich>
              <a:bodyPr vert="horz" rot="-5400000" anchor="ctr"/>
              <a:lstStyle/>
              <a:p>
                <a:pPr algn="ctr">
                  <a:defRPr/>
                </a:pPr>
                <a:r>
                  <a:rPr lang="en-US" cap="none" sz="800" b="1" i="0" u="none" baseline="0">
                    <a:latin typeface="Arial"/>
                    <a:ea typeface="Arial"/>
                    <a:cs typeface="Arial"/>
                  </a:rPr>
                  <a:t>%Air Voids</a:t>
                </a:r>
              </a:p>
            </c:rich>
          </c:tx>
          <c:layout>
            <c:manualLayout>
              <c:xMode val="factor"/>
              <c:yMode val="factor"/>
              <c:x val="-0.00075"/>
              <c:y val="-0.00425"/>
            </c:manualLayout>
          </c:layout>
          <c:overlay val="0"/>
          <c:spPr>
            <a:noFill/>
            <a:ln>
              <a:noFill/>
            </a:ln>
          </c:spPr>
        </c:title>
        <c:majorGridlines/>
        <c:delete val="0"/>
        <c:numFmt formatCode="General" sourceLinked="1"/>
        <c:majorTickMark val="in"/>
        <c:minorTickMark val="none"/>
        <c:tickLblPos val="nextTo"/>
        <c:crossAx val="30810391"/>
        <c:crosses val="autoZero"/>
        <c:crossBetween val="midCat"/>
        <c:dispUnits/>
        <c:majorUnit val="1"/>
      </c:valAx>
      <c:spPr>
        <a:solidFill>
          <a:srgbClr val="FFFFFF"/>
        </a:solidFill>
        <a:ln w="12700">
          <a:solidFill>
            <a:srgbClr val="808080"/>
          </a:solidFill>
        </a:ln>
      </c:spPr>
    </c:plotArea>
    <c:legend>
      <c:legendPos val="r"/>
      <c:legendEntry>
        <c:idx val="2"/>
        <c:delete val="1"/>
      </c:legendEntry>
      <c:layout>
        <c:manualLayout>
          <c:xMode val="edge"/>
          <c:yMode val="edge"/>
          <c:x val="0.828"/>
          <c:y val="0.089"/>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%Gmm vs. Gyrations - Blend 1</a:t>
            </a:r>
          </a:p>
        </c:rich>
      </c:tx>
      <c:layout>
        <c:manualLayout>
          <c:xMode val="factor"/>
          <c:yMode val="factor"/>
          <c:x val="-0.23425"/>
          <c:y val="-0.013"/>
        </c:manualLayout>
      </c:layout>
      <c:spPr>
        <a:noFill/>
        <a:ln>
          <a:noFill/>
        </a:ln>
      </c:spPr>
    </c:title>
    <c:plotArea>
      <c:layout>
        <c:manualLayout>
          <c:xMode val="edge"/>
          <c:yMode val="edge"/>
          <c:x val="0.02375"/>
          <c:y val="0.06575"/>
          <c:w val="0.9695"/>
          <c:h val="0.91025"/>
        </c:manualLayout>
      </c:layout>
      <c:scatterChart>
        <c:scatterStyle val="smooth"/>
        <c:varyColors val="0"/>
        <c:ser>
          <c:idx val="0"/>
          <c:order val="0"/>
          <c:tx>
            <c:v>Spec 1</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Report'!$D$12:$D$14</c:f>
              <c:numCache>
                <c:ptCount val="3"/>
                <c:pt idx="0">
                  <c:v>0</c:v>
                </c:pt>
                <c:pt idx="1">
                  <c:v>0</c:v>
                </c:pt>
                <c:pt idx="2">
                  <c:v>0</c:v>
                </c:pt>
              </c:numCache>
            </c:numRef>
          </c:yVal>
          <c:smooth val="1"/>
        </c:ser>
        <c:ser>
          <c:idx val="1"/>
          <c:order val="1"/>
          <c:tx>
            <c:v>Spec 2</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Report'!$G$12:$G$14</c:f>
              <c:numCache>
                <c:ptCount val="3"/>
                <c:pt idx="0">
                  <c:v>0</c:v>
                </c:pt>
                <c:pt idx="1">
                  <c:v>0</c:v>
                </c:pt>
                <c:pt idx="2">
                  <c:v>0</c:v>
                </c:pt>
              </c:numCache>
            </c:numRef>
          </c:yVal>
          <c:smooth val="1"/>
        </c:ser>
        <c:ser>
          <c:idx val="2"/>
          <c:order val="2"/>
          <c:tx>
            <c:v>Spec 3</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Report'!$J$12:$J$14</c:f>
              <c:numCache>
                <c:ptCount val="3"/>
                <c:pt idx="0">
                  <c:v>0</c:v>
                </c:pt>
                <c:pt idx="1">
                  <c:v>0</c:v>
                </c:pt>
                <c:pt idx="2">
                  <c:v>0</c:v>
                </c:pt>
              </c:numCache>
            </c:numRef>
          </c:yVal>
          <c:smooth val="1"/>
        </c:ser>
        <c:ser>
          <c:idx val="3"/>
          <c:order val="3"/>
          <c:tx>
            <c:v>Avg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'Densification Report'!$A$12:$A$14</c:f>
              <c:numCache>
                <c:ptCount val="3"/>
                <c:pt idx="0">
                  <c:v>7</c:v>
                </c:pt>
                <c:pt idx="1">
                  <c:v>75</c:v>
                </c:pt>
                <c:pt idx="2">
                  <c:v>115</c:v>
                </c:pt>
              </c:numCache>
            </c:numRef>
          </c:xVal>
          <c:yVal>
            <c:numRef>
              <c:f>'Densification Report'!$K$12:$K$14</c:f>
              <c:numCache>
                <c:ptCount val="3"/>
                <c:pt idx="0">
                  <c:v>0</c:v>
                </c:pt>
                <c:pt idx="1">
                  <c:v>0</c:v>
                </c:pt>
                <c:pt idx="2">
                  <c:v>0</c:v>
                </c:pt>
              </c:numCache>
            </c:numRef>
          </c:yVal>
          <c:smooth val="1"/>
        </c:ser>
        <c:axId val="12613713"/>
        <c:axId val="46414554"/>
      </c:scatterChart>
      <c:valAx>
        <c:axId val="12613713"/>
        <c:scaling>
          <c:logBase val="10"/>
          <c:orientation val="minMax"/>
        </c:scaling>
        <c:axPos val="b"/>
        <c:title>
          <c:tx>
            <c:rich>
              <a:bodyPr vert="horz" rot="0" anchor="ctr"/>
              <a:lstStyle/>
              <a:p>
                <a:pPr algn="ctr">
                  <a:defRPr/>
                </a:pPr>
                <a:r>
                  <a:rPr lang="en-US" cap="none" sz="800" b="1" i="0" u="none" baseline="0">
                    <a:latin typeface="Arial"/>
                    <a:ea typeface="Arial"/>
                    <a:cs typeface="Arial"/>
                  </a:rPr>
                  <a:t>Number of Gyrations</a:t>
                </a:r>
              </a:p>
            </c:rich>
          </c:tx>
          <c:layout/>
          <c:overlay val="0"/>
          <c:spPr>
            <a:noFill/>
            <a:ln>
              <a:noFill/>
            </a:ln>
          </c:spPr>
        </c:title>
        <c:majorGridlines/>
        <c:delete val="0"/>
        <c:numFmt formatCode="General" sourceLinked="1"/>
        <c:majorTickMark val="in"/>
        <c:minorTickMark val="none"/>
        <c:tickLblPos val="nextTo"/>
        <c:crossAx val="46414554"/>
        <c:crosses val="autoZero"/>
        <c:crossBetween val="midCat"/>
        <c:dispUnits/>
      </c:valAx>
      <c:valAx>
        <c:axId val="46414554"/>
        <c:scaling>
          <c:orientation val="minMax"/>
          <c:max val="100"/>
          <c:min val="80"/>
        </c:scaling>
        <c:axPos val="l"/>
        <c:title>
          <c:tx>
            <c:rich>
              <a:bodyPr vert="horz" rot="-5400000" anchor="ctr"/>
              <a:lstStyle/>
              <a:p>
                <a:pPr algn="ctr">
                  <a:defRPr/>
                </a:pPr>
                <a:r>
                  <a:rPr lang="en-US" cap="none" sz="800" b="1" i="0" u="none" baseline="0">
                    <a:latin typeface="Arial"/>
                    <a:ea typeface="Arial"/>
                    <a:cs typeface="Arial"/>
                  </a:rPr>
                  <a:t>%Max. Theoretical Density</a:t>
                </a:r>
              </a:p>
            </c:rich>
          </c:tx>
          <c:layout>
            <c:manualLayout>
              <c:xMode val="factor"/>
              <c:yMode val="factor"/>
              <c:x val="0.01125"/>
              <c:y val="-0.01175"/>
            </c:manualLayout>
          </c:layout>
          <c:overlay val="0"/>
          <c:spPr>
            <a:noFill/>
            <a:ln>
              <a:noFill/>
            </a:ln>
          </c:spPr>
        </c:title>
        <c:majorGridlines/>
        <c:delete val="0"/>
        <c:numFmt formatCode="General" sourceLinked="1"/>
        <c:majorTickMark val="in"/>
        <c:minorTickMark val="none"/>
        <c:tickLblPos val="nextTo"/>
        <c:crossAx val="12613713"/>
        <c:crosses val="autoZero"/>
        <c:crossBetween val="midCat"/>
        <c:dispUnits/>
        <c:majorUnit val="5"/>
      </c:valAx>
      <c:spPr>
        <a:noFill/>
        <a:ln w="12700">
          <a:solidFill>
            <a:srgbClr val="808080"/>
          </a:solidFill>
        </a:ln>
      </c:spPr>
    </c:plotArea>
    <c:legend>
      <c:legendPos val="r"/>
      <c:layout>
        <c:manualLayout>
          <c:xMode val="edge"/>
          <c:yMode val="edge"/>
          <c:x val="0.69975"/>
          <c:y val="0.6255"/>
          <c:w val="0.2905"/>
          <c:h val="0.239"/>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%Gmm vs. Gyrations - Blend 3</a:t>
            </a:r>
          </a:p>
        </c:rich>
      </c:tx>
      <c:layout>
        <c:manualLayout>
          <c:xMode val="factor"/>
          <c:yMode val="factor"/>
          <c:x val="-0.23425"/>
          <c:y val="-0.013"/>
        </c:manualLayout>
      </c:layout>
      <c:spPr>
        <a:noFill/>
        <a:ln>
          <a:noFill/>
        </a:ln>
      </c:spPr>
    </c:title>
    <c:plotArea>
      <c:layout>
        <c:manualLayout>
          <c:xMode val="edge"/>
          <c:yMode val="edge"/>
          <c:x val="0.0265"/>
          <c:y val="0.045"/>
          <c:w val="0.96475"/>
          <c:h val="0.9285"/>
        </c:manualLayout>
      </c:layout>
      <c:scatterChart>
        <c:scatterStyle val="smooth"/>
        <c:varyColors val="0"/>
        <c:ser>
          <c:idx val="0"/>
          <c:order val="0"/>
          <c:tx>
            <c:v>Spec 1</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Report'!$A$34:$A$36</c:f>
              <c:numCache>
                <c:ptCount val="3"/>
                <c:pt idx="0">
                  <c:v>7</c:v>
                </c:pt>
                <c:pt idx="1">
                  <c:v>75</c:v>
                </c:pt>
                <c:pt idx="2">
                  <c:v>115</c:v>
                </c:pt>
              </c:numCache>
            </c:numRef>
          </c:xVal>
          <c:yVal>
            <c:numRef>
              <c:f>'Densification Report'!$D$34:$D$36</c:f>
              <c:numCache>
                <c:ptCount val="3"/>
                <c:pt idx="0">
                  <c:v>0</c:v>
                </c:pt>
                <c:pt idx="1">
                  <c:v>0</c:v>
                </c:pt>
                <c:pt idx="2">
                  <c:v>0</c:v>
                </c:pt>
              </c:numCache>
            </c:numRef>
          </c:yVal>
          <c:smooth val="1"/>
        </c:ser>
        <c:ser>
          <c:idx val="1"/>
          <c:order val="1"/>
          <c:tx>
            <c:v>Spec 2</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Report'!$A$34:$A$36</c:f>
              <c:numCache>
                <c:ptCount val="3"/>
                <c:pt idx="0">
                  <c:v>7</c:v>
                </c:pt>
                <c:pt idx="1">
                  <c:v>75</c:v>
                </c:pt>
                <c:pt idx="2">
                  <c:v>115</c:v>
                </c:pt>
              </c:numCache>
            </c:numRef>
          </c:xVal>
          <c:yVal>
            <c:numRef>
              <c:f>'Densification Report'!$G$34:$G$36</c:f>
              <c:numCache>
                <c:ptCount val="3"/>
                <c:pt idx="0">
                  <c:v>0</c:v>
                </c:pt>
                <c:pt idx="1">
                  <c:v>0</c:v>
                </c:pt>
                <c:pt idx="2">
                  <c:v>0</c:v>
                </c:pt>
              </c:numCache>
            </c:numRef>
          </c:yVal>
          <c:smooth val="1"/>
        </c:ser>
        <c:ser>
          <c:idx val="2"/>
          <c:order val="2"/>
          <c:tx>
            <c:v>Spec 3</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Report'!$A$34:$A$36</c:f>
              <c:numCache>
                <c:ptCount val="3"/>
                <c:pt idx="0">
                  <c:v>7</c:v>
                </c:pt>
                <c:pt idx="1">
                  <c:v>75</c:v>
                </c:pt>
                <c:pt idx="2">
                  <c:v>115</c:v>
                </c:pt>
              </c:numCache>
            </c:numRef>
          </c:xVal>
          <c:yVal>
            <c:numRef>
              <c:f>'Densification Report'!$J$34:$J$36</c:f>
              <c:numCache>
                <c:ptCount val="3"/>
                <c:pt idx="0">
                  <c:v>0</c:v>
                </c:pt>
                <c:pt idx="1">
                  <c:v>0</c:v>
                </c:pt>
                <c:pt idx="2">
                  <c:v>0</c:v>
                </c:pt>
              </c:numCache>
            </c:numRef>
          </c:yVal>
          <c:smooth val="1"/>
        </c:ser>
        <c:ser>
          <c:idx val="3"/>
          <c:order val="3"/>
          <c:tx>
            <c:v>Avg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'Densification Report'!$A$34:$A$36</c:f>
              <c:numCache>
                <c:ptCount val="3"/>
                <c:pt idx="0">
                  <c:v>7</c:v>
                </c:pt>
                <c:pt idx="1">
                  <c:v>75</c:v>
                </c:pt>
                <c:pt idx="2">
                  <c:v>115</c:v>
                </c:pt>
              </c:numCache>
            </c:numRef>
          </c:xVal>
          <c:yVal>
            <c:numRef>
              <c:f>'Densification Report'!$K$34:$K$36</c:f>
              <c:numCache>
                <c:ptCount val="3"/>
                <c:pt idx="0">
                  <c:v>0</c:v>
                </c:pt>
                <c:pt idx="1">
                  <c:v>0</c:v>
                </c:pt>
                <c:pt idx="2">
                  <c:v>0</c:v>
                </c:pt>
              </c:numCache>
            </c:numRef>
          </c:yVal>
          <c:smooth val="1"/>
        </c:ser>
        <c:axId val="15077803"/>
        <c:axId val="1482500"/>
      </c:scatterChart>
      <c:valAx>
        <c:axId val="15077803"/>
        <c:scaling>
          <c:logBase val="10"/>
          <c:orientation val="minMax"/>
        </c:scaling>
        <c:axPos val="b"/>
        <c:majorGridlines/>
        <c:delete val="0"/>
        <c:numFmt formatCode="General" sourceLinked="1"/>
        <c:majorTickMark val="in"/>
        <c:minorTickMark val="none"/>
        <c:tickLblPos val="nextTo"/>
        <c:crossAx val="1482500"/>
        <c:crosses val="autoZero"/>
        <c:crossBetween val="midCat"/>
        <c:dispUnits/>
      </c:valAx>
      <c:valAx>
        <c:axId val="1482500"/>
        <c:scaling>
          <c:orientation val="minMax"/>
          <c:max val="100"/>
          <c:min val="80"/>
        </c:scaling>
        <c:axPos val="l"/>
        <c:majorGridlines/>
        <c:delete val="0"/>
        <c:numFmt formatCode="General" sourceLinked="1"/>
        <c:majorTickMark val="in"/>
        <c:minorTickMark val="none"/>
        <c:tickLblPos val="nextTo"/>
        <c:crossAx val="15077803"/>
        <c:crosses val="autoZero"/>
        <c:crossBetween val="midCat"/>
        <c:dispUnits/>
        <c:majorUnit val="5"/>
      </c:valAx>
      <c:spPr>
        <a:noFill/>
        <a:ln w="12700">
          <a:solidFill>
            <a:srgbClr val="808080"/>
          </a:solidFill>
        </a:ln>
      </c:spPr>
    </c:plotArea>
    <c:legend>
      <c:legendPos val="r"/>
      <c:layout>
        <c:manualLayout>
          <c:xMode val="edge"/>
          <c:yMode val="edge"/>
          <c:x val="0.7095"/>
          <c:y val="0.628"/>
          <c:w val="0.2905"/>
          <c:h val="0.24"/>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%Gmm vs. Gyrations - Blend 2</a:t>
            </a:r>
          </a:p>
        </c:rich>
      </c:tx>
      <c:layout>
        <c:manualLayout>
          <c:xMode val="factor"/>
          <c:yMode val="factor"/>
          <c:x val="-0.23425"/>
          <c:y val="-0.013"/>
        </c:manualLayout>
      </c:layout>
      <c:spPr>
        <a:noFill/>
        <a:ln>
          <a:noFill/>
        </a:ln>
      </c:spPr>
    </c:title>
    <c:plotArea>
      <c:layout>
        <c:manualLayout>
          <c:xMode val="edge"/>
          <c:yMode val="edge"/>
          <c:x val="0.0265"/>
          <c:y val="0.0675"/>
          <c:w val="0.96475"/>
          <c:h val="0.90075"/>
        </c:manualLayout>
      </c:layout>
      <c:scatterChart>
        <c:scatterStyle val="smooth"/>
        <c:varyColors val="0"/>
        <c:ser>
          <c:idx val="0"/>
          <c:order val="0"/>
          <c:tx>
            <c:v>Spec 1</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Report'!$A$23:$A$25</c:f>
              <c:numCache>
                <c:ptCount val="3"/>
                <c:pt idx="0">
                  <c:v>7</c:v>
                </c:pt>
                <c:pt idx="1">
                  <c:v>75</c:v>
                </c:pt>
                <c:pt idx="2">
                  <c:v>115</c:v>
                </c:pt>
              </c:numCache>
            </c:numRef>
          </c:xVal>
          <c:yVal>
            <c:numRef>
              <c:f>'Densification Report'!$D$23:$D$25</c:f>
              <c:numCache>
                <c:ptCount val="3"/>
                <c:pt idx="0">
                  <c:v>0</c:v>
                </c:pt>
                <c:pt idx="1">
                  <c:v>0</c:v>
                </c:pt>
                <c:pt idx="2">
                  <c:v>0</c:v>
                </c:pt>
              </c:numCache>
            </c:numRef>
          </c:yVal>
          <c:smooth val="1"/>
        </c:ser>
        <c:ser>
          <c:idx val="1"/>
          <c:order val="1"/>
          <c:tx>
            <c:v>Spec 2</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Report'!$A$23:$A$25</c:f>
              <c:numCache>
                <c:ptCount val="3"/>
                <c:pt idx="0">
                  <c:v>7</c:v>
                </c:pt>
                <c:pt idx="1">
                  <c:v>75</c:v>
                </c:pt>
                <c:pt idx="2">
                  <c:v>115</c:v>
                </c:pt>
              </c:numCache>
            </c:numRef>
          </c:xVal>
          <c:yVal>
            <c:numRef>
              <c:f>'Densification Report'!$G$23:$G$25</c:f>
              <c:numCache>
                <c:ptCount val="3"/>
                <c:pt idx="0">
                  <c:v>0</c:v>
                </c:pt>
                <c:pt idx="1">
                  <c:v>0</c:v>
                </c:pt>
                <c:pt idx="2">
                  <c:v>0</c:v>
                </c:pt>
              </c:numCache>
            </c:numRef>
          </c:yVal>
          <c:smooth val="1"/>
        </c:ser>
        <c:ser>
          <c:idx val="2"/>
          <c:order val="2"/>
          <c:tx>
            <c:v>Spec 3</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Report'!$A$23:$A$25</c:f>
              <c:numCache>
                <c:ptCount val="3"/>
                <c:pt idx="0">
                  <c:v>7</c:v>
                </c:pt>
                <c:pt idx="1">
                  <c:v>75</c:v>
                </c:pt>
                <c:pt idx="2">
                  <c:v>115</c:v>
                </c:pt>
              </c:numCache>
            </c:numRef>
          </c:xVal>
          <c:yVal>
            <c:numRef>
              <c:f>'Densification Report'!$J$23:$J$25</c:f>
              <c:numCache>
                <c:ptCount val="3"/>
                <c:pt idx="0">
                  <c:v>0</c:v>
                </c:pt>
                <c:pt idx="1">
                  <c:v>0</c:v>
                </c:pt>
                <c:pt idx="2">
                  <c:v>0</c:v>
                </c:pt>
              </c:numCache>
            </c:numRef>
          </c:yVal>
          <c:smooth val="1"/>
        </c:ser>
        <c:ser>
          <c:idx val="3"/>
          <c:order val="3"/>
          <c:tx>
            <c:v>Avg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'Densification Report'!$A$23:$A$25</c:f>
              <c:numCache>
                <c:ptCount val="3"/>
                <c:pt idx="0">
                  <c:v>7</c:v>
                </c:pt>
                <c:pt idx="1">
                  <c:v>75</c:v>
                </c:pt>
                <c:pt idx="2">
                  <c:v>115</c:v>
                </c:pt>
              </c:numCache>
            </c:numRef>
          </c:xVal>
          <c:yVal>
            <c:numRef>
              <c:f>'Densification Report'!$K$23:$K$25</c:f>
              <c:numCache>
                <c:ptCount val="3"/>
                <c:pt idx="0">
                  <c:v>0</c:v>
                </c:pt>
                <c:pt idx="1">
                  <c:v>0</c:v>
                </c:pt>
                <c:pt idx="2">
                  <c:v>0</c:v>
                </c:pt>
              </c:numCache>
            </c:numRef>
          </c:yVal>
          <c:smooth val="1"/>
        </c:ser>
        <c:axId val="13342501"/>
        <c:axId val="52973646"/>
      </c:scatterChart>
      <c:valAx>
        <c:axId val="13342501"/>
        <c:scaling>
          <c:logBase val="10"/>
          <c:orientation val="minMax"/>
        </c:scaling>
        <c:axPos val="b"/>
        <c:majorGridlines/>
        <c:delete val="0"/>
        <c:numFmt formatCode="General" sourceLinked="1"/>
        <c:majorTickMark val="in"/>
        <c:minorTickMark val="none"/>
        <c:tickLblPos val="nextTo"/>
        <c:crossAx val="52973646"/>
        <c:crosses val="autoZero"/>
        <c:crossBetween val="midCat"/>
        <c:dispUnits/>
      </c:valAx>
      <c:valAx>
        <c:axId val="52973646"/>
        <c:scaling>
          <c:orientation val="minMax"/>
          <c:max val="100"/>
          <c:min val="80"/>
        </c:scaling>
        <c:axPos val="l"/>
        <c:majorGridlines/>
        <c:delete val="0"/>
        <c:numFmt formatCode="General" sourceLinked="1"/>
        <c:majorTickMark val="in"/>
        <c:minorTickMark val="none"/>
        <c:tickLblPos val="nextTo"/>
        <c:crossAx val="13342501"/>
        <c:crosses val="autoZero"/>
        <c:crossBetween val="midCat"/>
        <c:dispUnits/>
        <c:majorUnit val="5"/>
      </c:valAx>
      <c:spPr>
        <a:noFill/>
        <a:ln w="12700">
          <a:solidFill>
            <a:srgbClr val="808080"/>
          </a:solidFill>
        </a:ln>
      </c:spPr>
    </c:plotArea>
    <c:legend>
      <c:legendPos val="r"/>
      <c:layout>
        <c:manualLayout>
          <c:xMode val="edge"/>
          <c:yMode val="edge"/>
          <c:x val="0.70625"/>
          <c:y val="0.6255"/>
          <c:w val="0.2905"/>
          <c:h val="0.239"/>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%Gmm vs. Gyrations - Blend 4</a:t>
            </a:r>
          </a:p>
        </c:rich>
      </c:tx>
      <c:layout>
        <c:manualLayout>
          <c:xMode val="factor"/>
          <c:yMode val="factor"/>
          <c:x val="-0.23425"/>
          <c:y val="-0.013"/>
        </c:manualLayout>
      </c:layout>
      <c:spPr>
        <a:noFill/>
        <a:ln>
          <a:noFill/>
        </a:ln>
      </c:spPr>
    </c:title>
    <c:plotArea>
      <c:layout>
        <c:manualLayout>
          <c:xMode val="edge"/>
          <c:yMode val="edge"/>
          <c:x val="0.0265"/>
          <c:y val="0.04825"/>
          <c:w val="0.96475"/>
          <c:h val="0.92525"/>
        </c:manualLayout>
      </c:layout>
      <c:scatterChart>
        <c:scatterStyle val="smooth"/>
        <c:varyColors val="0"/>
        <c:ser>
          <c:idx val="0"/>
          <c:order val="0"/>
          <c:tx>
            <c:v>Spec 1</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Report'!$A$45:$A$47</c:f>
              <c:numCache>
                <c:ptCount val="3"/>
                <c:pt idx="0">
                  <c:v>7</c:v>
                </c:pt>
                <c:pt idx="1">
                  <c:v>75</c:v>
                </c:pt>
                <c:pt idx="2">
                  <c:v>115</c:v>
                </c:pt>
              </c:numCache>
            </c:numRef>
          </c:xVal>
          <c:yVal>
            <c:numRef>
              <c:f>'Densification Report'!$D$45:$D$47</c:f>
              <c:numCache>
                <c:ptCount val="3"/>
                <c:pt idx="0">
                  <c:v>0</c:v>
                </c:pt>
                <c:pt idx="1">
                  <c:v>0</c:v>
                </c:pt>
                <c:pt idx="2">
                  <c:v>0</c:v>
                </c:pt>
              </c:numCache>
            </c:numRef>
          </c:yVal>
          <c:smooth val="1"/>
        </c:ser>
        <c:ser>
          <c:idx val="1"/>
          <c:order val="1"/>
          <c:tx>
            <c:v>Spec 2</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Report'!$A$45:$A$47</c:f>
              <c:numCache>
                <c:ptCount val="3"/>
                <c:pt idx="0">
                  <c:v>7</c:v>
                </c:pt>
                <c:pt idx="1">
                  <c:v>75</c:v>
                </c:pt>
                <c:pt idx="2">
                  <c:v>115</c:v>
                </c:pt>
              </c:numCache>
            </c:numRef>
          </c:xVal>
          <c:yVal>
            <c:numRef>
              <c:f>'Densification Report'!$G$45:$G$47</c:f>
              <c:numCache>
                <c:ptCount val="3"/>
                <c:pt idx="0">
                  <c:v>0</c:v>
                </c:pt>
                <c:pt idx="1">
                  <c:v>0</c:v>
                </c:pt>
                <c:pt idx="2">
                  <c:v>0</c:v>
                </c:pt>
              </c:numCache>
            </c:numRef>
          </c:yVal>
          <c:smooth val="1"/>
        </c:ser>
        <c:ser>
          <c:idx val="2"/>
          <c:order val="2"/>
          <c:tx>
            <c:v>Spec 3</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Report'!$A$45:$A$47</c:f>
              <c:numCache>
                <c:ptCount val="3"/>
                <c:pt idx="0">
                  <c:v>7</c:v>
                </c:pt>
                <c:pt idx="1">
                  <c:v>75</c:v>
                </c:pt>
                <c:pt idx="2">
                  <c:v>115</c:v>
                </c:pt>
              </c:numCache>
            </c:numRef>
          </c:xVal>
          <c:yVal>
            <c:numRef>
              <c:f>'Densification Report'!$J$45:$J$47</c:f>
              <c:numCache>
                <c:ptCount val="3"/>
                <c:pt idx="0">
                  <c:v>0</c:v>
                </c:pt>
                <c:pt idx="1">
                  <c:v>0</c:v>
                </c:pt>
                <c:pt idx="2">
                  <c:v>0</c:v>
                </c:pt>
              </c:numCache>
            </c:numRef>
          </c:yVal>
          <c:smooth val="1"/>
        </c:ser>
        <c:ser>
          <c:idx val="3"/>
          <c:order val="3"/>
          <c:tx>
            <c:v>Avg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xVal>
            <c:numRef>
              <c:f>'Densification Report'!$A$45:$A$47</c:f>
              <c:numCache>
                <c:ptCount val="3"/>
                <c:pt idx="0">
                  <c:v>7</c:v>
                </c:pt>
                <c:pt idx="1">
                  <c:v>75</c:v>
                </c:pt>
                <c:pt idx="2">
                  <c:v>115</c:v>
                </c:pt>
              </c:numCache>
            </c:numRef>
          </c:xVal>
          <c:yVal>
            <c:numRef>
              <c:f>'Densification Report'!$K$45:$K$47</c:f>
              <c:numCache>
                <c:ptCount val="3"/>
                <c:pt idx="0">
                  <c:v>0</c:v>
                </c:pt>
                <c:pt idx="1">
                  <c:v>0</c:v>
                </c:pt>
                <c:pt idx="2">
                  <c:v>0</c:v>
                </c:pt>
              </c:numCache>
            </c:numRef>
          </c:yVal>
          <c:smooth val="1"/>
        </c:ser>
        <c:axId val="7000767"/>
        <c:axId val="63006904"/>
      </c:scatterChart>
      <c:valAx>
        <c:axId val="7000767"/>
        <c:scaling>
          <c:logBase val="10"/>
          <c:orientation val="minMax"/>
        </c:scaling>
        <c:axPos val="b"/>
        <c:majorGridlines/>
        <c:delete val="0"/>
        <c:numFmt formatCode="General" sourceLinked="1"/>
        <c:majorTickMark val="in"/>
        <c:minorTickMark val="none"/>
        <c:tickLblPos val="nextTo"/>
        <c:crossAx val="63006904"/>
        <c:crosses val="autoZero"/>
        <c:crossBetween val="midCat"/>
        <c:dispUnits/>
      </c:valAx>
      <c:valAx>
        <c:axId val="63006904"/>
        <c:scaling>
          <c:orientation val="minMax"/>
          <c:max val="100"/>
          <c:min val="80"/>
        </c:scaling>
        <c:axPos val="l"/>
        <c:majorGridlines/>
        <c:delete val="0"/>
        <c:numFmt formatCode="General" sourceLinked="1"/>
        <c:majorTickMark val="in"/>
        <c:minorTickMark val="none"/>
        <c:tickLblPos val="nextTo"/>
        <c:crossAx val="7000767"/>
        <c:crosses val="autoZero"/>
        <c:crossBetween val="midCat"/>
        <c:dispUnits/>
        <c:majorUnit val="5"/>
      </c:valAx>
      <c:spPr>
        <a:noFill/>
        <a:ln w="12700">
          <a:solidFill>
            <a:srgbClr val="808080"/>
          </a:solidFill>
        </a:ln>
      </c:spPr>
    </c:plotArea>
    <c:legend>
      <c:legendPos val="r"/>
      <c:layout>
        <c:manualLayout>
          <c:xMode val="edge"/>
          <c:yMode val="edge"/>
          <c:x val="0.70625"/>
          <c:y val="0.616"/>
          <c:w val="0.2905"/>
          <c:h val="0.24"/>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%Gmm vs. Gyrations</a:t>
            </a:r>
          </a:p>
        </c:rich>
      </c:tx>
      <c:layout>
        <c:manualLayout>
          <c:xMode val="factor"/>
          <c:yMode val="factor"/>
          <c:x val="0.097"/>
          <c:y val="-0.01875"/>
        </c:manualLayout>
      </c:layout>
      <c:spPr>
        <a:noFill/>
        <a:ln>
          <a:noFill/>
        </a:ln>
      </c:spPr>
    </c:title>
    <c:plotArea>
      <c:layout>
        <c:manualLayout>
          <c:xMode val="edge"/>
          <c:yMode val="edge"/>
          <c:x val="0.05175"/>
          <c:y val="0.047"/>
          <c:w val="0.94825"/>
          <c:h val="0.7755"/>
        </c:manualLayout>
      </c:layout>
      <c:scatterChart>
        <c:scatterStyle val="smooth"/>
        <c:varyColors val="0"/>
        <c:ser>
          <c:idx val="0"/>
          <c:order val="0"/>
          <c:tx>
            <c:strRef>
              <c:f>'Densification Report'!$A$8</c:f>
              <c:strCache>
                <c:ptCount val="1"/>
                <c:pt idx="0">
                  <c:v>Blend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'Densification Report'!$A$12:$A$14</c:f>
              <c:numCache>
                <c:ptCount val="3"/>
                <c:pt idx="0">
                  <c:v>7</c:v>
                </c:pt>
                <c:pt idx="1">
                  <c:v>75</c:v>
                </c:pt>
                <c:pt idx="2">
                  <c:v>115</c:v>
                </c:pt>
              </c:numCache>
            </c:numRef>
          </c:xVal>
          <c:yVal>
            <c:numRef>
              <c:f>'Densification Report'!$K$12:$K$14</c:f>
              <c:numCache>
                <c:ptCount val="3"/>
                <c:pt idx="0">
                  <c:v>0</c:v>
                </c:pt>
                <c:pt idx="1">
                  <c:v>0</c:v>
                </c:pt>
                <c:pt idx="2">
                  <c:v>0</c:v>
                </c:pt>
              </c:numCache>
            </c:numRef>
          </c:yVal>
          <c:smooth val="1"/>
        </c:ser>
        <c:ser>
          <c:idx val="1"/>
          <c:order val="1"/>
          <c:tx>
            <c:strRef>
              <c:f>'Densification Report'!$A$19</c:f>
              <c:strCache>
                <c:ptCount val="1"/>
                <c:pt idx="0">
                  <c:v>Blend 2</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Report'!$K$23:$K$25</c:f>
              <c:numCache>
                <c:ptCount val="3"/>
                <c:pt idx="0">
                  <c:v>0</c:v>
                </c:pt>
                <c:pt idx="1">
                  <c:v>0</c:v>
                </c:pt>
                <c:pt idx="2">
                  <c:v>0</c:v>
                </c:pt>
              </c:numCache>
            </c:numRef>
          </c:yVal>
          <c:smooth val="1"/>
        </c:ser>
        <c:ser>
          <c:idx val="2"/>
          <c:order val="2"/>
          <c:tx>
            <c:strRef>
              <c:f>'Densification Report'!$A$30</c:f>
              <c:strCache>
                <c:ptCount val="1"/>
                <c:pt idx="0">
                  <c:v>Blend 3</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Report'!$K$34:$K$36</c:f>
              <c:numCache>
                <c:ptCount val="3"/>
                <c:pt idx="0">
                  <c:v>0</c:v>
                </c:pt>
                <c:pt idx="1">
                  <c:v>0</c:v>
                </c:pt>
                <c:pt idx="2">
                  <c:v>0</c:v>
                </c:pt>
              </c:numCache>
            </c:numRef>
          </c:yVal>
          <c:smooth val="1"/>
        </c:ser>
        <c:ser>
          <c:idx val="3"/>
          <c:order val="3"/>
          <c:tx>
            <c:strRef>
              <c:f>'Densification Report'!$A$41</c:f>
              <c:strCache>
                <c:ptCount val="1"/>
                <c:pt idx="0">
                  <c:v>Blend 4</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'Densification Report'!$A$12:$A$14</c:f>
              <c:numCache>
                <c:ptCount val="3"/>
                <c:pt idx="0">
                  <c:v>7</c:v>
                </c:pt>
                <c:pt idx="1">
                  <c:v>75</c:v>
                </c:pt>
                <c:pt idx="2">
                  <c:v>115</c:v>
                </c:pt>
              </c:numCache>
            </c:numRef>
          </c:xVal>
          <c:yVal>
            <c:numRef>
              <c:f>'Densification Report'!$K$45:$K$47</c:f>
              <c:numCache>
                <c:ptCount val="3"/>
                <c:pt idx="0">
                  <c:v>0</c:v>
                </c:pt>
                <c:pt idx="1">
                  <c:v>0</c:v>
                </c:pt>
                <c:pt idx="2">
                  <c:v>0</c:v>
                </c:pt>
              </c:numCache>
            </c:numRef>
          </c:yVal>
          <c:smooth val="1"/>
        </c:ser>
        <c:ser>
          <c:idx val="4"/>
          <c:order val="4"/>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Calculations!$C$40:$C$41</c:f>
              <c:numCache>
                <c:ptCount val="2"/>
                <c:pt idx="0">
                  <c:v>1</c:v>
                </c:pt>
                <c:pt idx="1">
                  <c:v>1000</c:v>
                </c:pt>
              </c:numCache>
            </c:numRef>
          </c:xVal>
          <c:yVal>
            <c:numRef>
              <c:f>Calculations!$D$40:$D$41</c:f>
              <c:numCache>
                <c:ptCount val="2"/>
                <c:pt idx="0">
                  <c:v>90.5</c:v>
                </c:pt>
                <c:pt idx="1">
                  <c:v>90.5</c:v>
                </c:pt>
              </c:numCache>
            </c:numRef>
          </c:yVal>
          <c:smooth val="1"/>
        </c:ser>
        <c:ser>
          <c:idx val="5"/>
          <c:order val="5"/>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Calculations!$C$40:$C$41</c:f>
              <c:numCache>
                <c:ptCount val="2"/>
                <c:pt idx="0">
                  <c:v>1</c:v>
                </c:pt>
                <c:pt idx="1">
                  <c:v>1000</c:v>
                </c:pt>
              </c:numCache>
            </c:numRef>
          </c:xVal>
          <c:yVal>
            <c:numRef>
              <c:f>Calculations!$E$40:$E$41</c:f>
              <c:numCache>
                <c:ptCount val="2"/>
                <c:pt idx="0">
                  <c:v>96</c:v>
                </c:pt>
                <c:pt idx="1">
                  <c:v>96</c:v>
                </c:pt>
              </c:numCache>
            </c:numRef>
          </c:yVal>
          <c:smooth val="1"/>
        </c:ser>
        <c:ser>
          <c:idx val="6"/>
          <c:order val="6"/>
          <c:spPr>
            <a:ln w="127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Calculations!$C$40:$C$41</c:f>
              <c:numCache>
                <c:ptCount val="2"/>
                <c:pt idx="0">
                  <c:v>1</c:v>
                </c:pt>
                <c:pt idx="1">
                  <c:v>1000</c:v>
                </c:pt>
              </c:numCache>
            </c:numRef>
          </c:xVal>
          <c:yVal>
            <c:numRef>
              <c:f>Calculations!$F$40:$F$41</c:f>
              <c:numCache>
                <c:ptCount val="2"/>
                <c:pt idx="0">
                  <c:v>98</c:v>
                </c:pt>
                <c:pt idx="1">
                  <c:v>98</c:v>
                </c:pt>
              </c:numCache>
            </c:numRef>
          </c:yVal>
          <c:smooth val="1"/>
        </c:ser>
        <c:ser>
          <c:idx val="7"/>
          <c:order val="7"/>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Calculations!$C$44:$C$45</c:f>
              <c:numCache>
                <c:ptCount val="2"/>
                <c:pt idx="0">
                  <c:v>7</c:v>
                </c:pt>
                <c:pt idx="1">
                  <c:v>7</c:v>
                </c:pt>
              </c:numCache>
            </c:numRef>
          </c:xVal>
          <c:yVal>
            <c:numRef>
              <c:f>Calculations!$D$44:$D$45</c:f>
              <c:numCache>
                <c:ptCount val="2"/>
                <c:pt idx="0">
                  <c:v>80</c:v>
                </c:pt>
                <c:pt idx="1">
                  <c:v>89</c:v>
                </c:pt>
              </c:numCache>
            </c:numRef>
          </c:yVal>
          <c:smooth val="1"/>
        </c:ser>
        <c:ser>
          <c:idx val="9"/>
          <c:order val="8"/>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Calculations!$G$44:$G$45</c:f>
              <c:numCache>
                <c:ptCount val="2"/>
                <c:pt idx="0">
                  <c:v>115</c:v>
                </c:pt>
                <c:pt idx="1">
                  <c:v>115</c:v>
                </c:pt>
              </c:numCache>
            </c:numRef>
          </c:xVal>
          <c:yVal>
            <c:numRef>
              <c:f>Calculations!$H$44:$H$45</c:f>
              <c:numCache>
                <c:ptCount val="2"/>
                <c:pt idx="0">
                  <c:v>80</c:v>
                </c:pt>
                <c:pt idx="1">
                  <c:v>98</c:v>
                </c:pt>
              </c:numCache>
            </c:numRef>
          </c:yVal>
          <c:smooth val="1"/>
        </c:ser>
        <c:ser>
          <c:idx val="8"/>
          <c:order val="9"/>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Calculations!$E$44:$E$45</c:f>
              <c:numCache>
                <c:ptCount val="2"/>
                <c:pt idx="0">
                  <c:v>75</c:v>
                </c:pt>
                <c:pt idx="1">
                  <c:v>75</c:v>
                </c:pt>
              </c:numCache>
            </c:numRef>
          </c:xVal>
          <c:yVal>
            <c:numRef>
              <c:f>Calculations!$F$44:$F$45</c:f>
              <c:numCache>
                <c:ptCount val="2"/>
                <c:pt idx="0">
                  <c:v>80</c:v>
                </c:pt>
                <c:pt idx="1">
                  <c:v>96</c:v>
                </c:pt>
              </c:numCache>
            </c:numRef>
          </c:yVal>
          <c:smooth val="1"/>
        </c:ser>
        <c:axId val="62145479"/>
        <c:axId val="22438400"/>
      </c:scatterChart>
      <c:valAx>
        <c:axId val="62145479"/>
        <c:scaling>
          <c:logBase val="10"/>
          <c:orientation val="minMax"/>
        </c:scaling>
        <c:axPos val="b"/>
        <c:title>
          <c:tx>
            <c:rich>
              <a:bodyPr vert="horz" rot="0" anchor="b"/>
              <a:lstStyle/>
              <a:p>
                <a:pPr algn="ctr">
                  <a:defRPr/>
                </a:pPr>
                <a:r>
                  <a:rPr lang="en-US" cap="none" sz="800" b="1" i="0" u="none" baseline="0">
                    <a:latin typeface="Arial"/>
                    <a:ea typeface="Arial"/>
                    <a:cs typeface="Arial"/>
                  </a:rPr>
                  <a:t>Number of Gyrations</a:t>
                </a:r>
              </a:p>
            </c:rich>
          </c:tx>
          <c:layout>
            <c:manualLayout>
              <c:xMode val="factor"/>
              <c:yMode val="factor"/>
              <c:x val="0.0135"/>
              <c:y val="0.00575"/>
            </c:manualLayout>
          </c:layout>
          <c:overlay val="0"/>
          <c:spPr>
            <a:noFill/>
            <a:ln>
              <a:noFill/>
            </a:ln>
          </c:spPr>
        </c:title>
        <c:delete val="0"/>
        <c:numFmt formatCode="General" sourceLinked="1"/>
        <c:majorTickMark val="in"/>
        <c:minorTickMark val="none"/>
        <c:tickLblPos val="nextTo"/>
        <c:crossAx val="22438400"/>
        <c:crosses val="autoZero"/>
        <c:crossBetween val="midCat"/>
        <c:dispUnits/>
      </c:valAx>
      <c:valAx>
        <c:axId val="22438400"/>
        <c:scaling>
          <c:orientation val="minMax"/>
          <c:max val="100"/>
          <c:min val="80"/>
        </c:scaling>
        <c:axPos val="l"/>
        <c:title>
          <c:tx>
            <c:rich>
              <a:bodyPr vert="horz" rot="-5400000" anchor="ctr"/>
              <a:lstStyle/>
              <a:p>
                <a:pPr algn="ctr">
                  <a:defRPr/>
                </a:pPr>
                <a:r>
                  <a:rPr lang="en-US" cap="none" sz="800" b="1" i="0" u="none" baseline="0">
                    <a:latin typeface="Arial"/>
                    <a:ea typeface="Arial"/>
                    <a:cs typeface="Arial"/>
                  </a:rPr>
                  <a:t>%Max. Theoretical Density</a:t>
                </a:r>
              </a:p>
            </c:rich>
          </c:tx>
          <c:layout>
            <c:manualLayout>
              <c:xMode val="factor"/>
              <c:yMode val="factor"/>
              <c:x val="-0.03"/>
              <c:y val="0.0095"/>
            </c:manualLayout>
          </c:layout>
          <c:overlay val="0"/>
          <c:spPr>
            <a:noFill/>
            <a:ln>
              <a:noFill/>
            </a:ln>
          </c:spPr>
        </c:title>
        <c:delete val="0"/>
        <c:numFmt formatCode="General" sourceLinked="1"/>
        <c:majorTickMark val="in"/>
        <c:minorTickMark val="none"/>
        <c:tickLblPos val="nextTo"/>
        <c:crossAx val="62145479"/>
        <c:crosses val="autoZero"/>
        <c:crossBetween val="midCat"/>
        <c:dispUnits/>
        <c:majorUnit val="2"/>
        <c:minorUnit val="2"/>
      </c:valAx>
      <c:spPr>
        <a:solidFill>
          <a:srgbClr val="FFFFFF"/>
        </a:solidFill>
        <a:ln w="3175">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9275"/>
          <c:y val="0.5385"/>
          <c:w val="0.40725"/>
          <c:h val="0.2242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%Air Voids vs. %Binder</a:t>
            </a:r>
          </a:p>
        </c:rich>
      </c:tx>
      <c:layout>
        <c:manualLayout>
          <c:xMode val="factor"/>
          <c:yMode val="factor"/>
          <c:x val="0.0055"/>
          <c:y val="-0.0215"/>
        </c:manualLayout>
      </c:layout>
      <c:spPr>
        <a:noFill/>
        <a:ln>
          <a:noFill/>
        </a:ln>
      </c:spPr>
    </c:title>
    <c:plotArea>
      <c:layout>
        <c:manualLayout>
          <c:xMode val="edge"/>
          <c:yMode val="edge"/>
          <c:x val="0.06175"/>
          <c:y val="0.05125"/>
          <c:w val="0.91225"/>
          <c:h val="0.782"/>
        </c:manualLayout>
      </c:layout>
      <c:scatterChart>
        <c:scatterStyle val="smooth"/>
        <c:varyColors val="0"/>
        <c:ser>
          <c:idx val="0"/>
          <c:order val="0"/>
          <c:tx>
            <c:v>'@Nmax'</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'Varying %AC Report'!$B$37:$B$40</c:f>
              <c:numCache>
                <c:ptCount val="4"/>
                <c:pt idx="0">
                  <c:v>#N/A</c:v>
                </c:pt>
                <c:pt idx="1">
                  <c:v>#N/A</c:v>
                </c:pt>
                <c:pt idx="2">
                  <c:v>#N/A</c:v>
                </c:pt>
                <c:pt idx="3">
                  <c:v>#N/A</c:v>
                </c:pt>
              </c:numCache>
            </c:numRef>
          </c:xVal>
          <c:yVal>
            <c:numRef>
              <c:f>'Varying %AC Report'!$C$37:$C$40</c:f>
              <c:numCache>
                <c:ptCount val="4"/>
                <c:pt idx="0">
                  <c:v>0</c:v>
                </c:pt>
                <c:pt idx="1">
                  <c:v>0</c:v>
                </c:pt>
                <c:pt idx="2">
                  <c:v>0</c:v>
                </c:pt>
                <c:pt idx="3">
                  <c:v>0</c:v>
                </c:pt>
              </c:numCache>
            </c:numRef>
          </c:yVal>
          <c:smooth val="1"/>
        </c:ser>
        <c:ser>
          <c:idx val="1"/>
          <c:order val="1"/>
          <c:tx>
            <c:v>'@Ndes'</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'Varying %AC Report'!$B$37:$B$40</c:f>
              <c:numCache>
                <c:ptCount val="4"/>
                <c:pt idx="0">
                  <c:v>#N/A</c:v>
                </c:pt>
                <c:pt idx="1">
                  <c:v>#N/A</c:v>
                </c:pt>
                <c:pt idx="2">
                  <c:v>#N/A</c:v>
                </c:pt>
                <c:pt idx="3">
                  <c:v>#N/A</c:v>
                </c:pt>
              </c:numCache>
            </c:numRef>
          </c:xVal>
          <c:yVal>
            <c:numRef>
              <c:f>'Varying %AC Report'!$D$37:$D$40</c:f>
              <c:numCache>
                <c:ptCount val="4"/>
                <c:pt idx="0">
                  <c:v>0</c:v>
                </c:pt>
                <c:pt idx="1">
                  <c:v>0</c:v>
                </c:pt>
                <c:pt idx="2">
                  <c:v>0</c:v>
                </c:pt>
                <c:pt idx="3">
                  <c:v>0</c:v>
                </c:pt>
              </c:numCache>
            </c:numRef>
          </c:yVal>
          <c:smooth val="1"/>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Calculations!$G$36:$G$37</c:f>
              <c:numCache>
                <c:ptCount val="2"/>
                <c:pt idx="0">
                  <c:v>4</c:v>
                </c:pt>
                <c:pt idx="1">
                  <c:v>4</c:v>
                </c:pt>
              </c:numCache>
            </c:numRef>
          </c:yVal>
          <c:smooth val="1"/>
        </c:ser>
        <c:axId val="619009"/>
        <c:axId val="5571082"/>
      </c:scatterChart>
      <c:valAx>
        <c:axId val="619009"/>
        <c:scaling>
          <c:orientation val="minMax"/>
          <c:max val="7"/>
          <c:min val="3.5"/>
        </c:scaling>
        <c:axPos val="b"/>
        <c:title>
          <c:tx>
            <c:rich>
              <a:bodyPr vert="horz" rot="0" anchor="ctr"/>
              <a:lstStyle/>
              <a:p>
                <a:pPr algn="ctr">
                  <a:defRPr/>
                </a:pPr>
                <a:r>
                  <a:rPr lang="en-US" cap="none" sz="800" b="1" i="0" u="none" baseline="0">
                    <a:latin typeface="Arial"/>
                    <a:ea typeface="Arial"/>
                    <a:cs typeface="Arial"/>
                  </a:rPr>
                  <a:t>% Asphalt Binder</a:t>
                </a:r>
              </a:p>
            </c:rich>
          </c:tx>
          <c:layout>
            <c:manualLayout>
              <c:xMode val="factor"/>
              <c:yMode val="factor"/>
              <c:x val="0.0075"/>
              <c:y val="-0.001"/>
            </c:manualLayout>
          </c:layout>
          <c:overlay val="0"/>
          <c:spPr>
            <a:noFill/>
            <a:ln>
              <a:noFill/>
            </a:ln>
          </c:spPr>
        </c:title>
        <c:majorGridlines/>
        <c:delete val="0"/>
        <c:numFmt formatCode="0.0" sourceLinked="0"/>
        <c:majorTickMark val="in"/>
        <c:minorTickMark val="none"/>
        <c:tickLblPos val="nextTo"/>
        <c:crossAx val="5571082"/>
        <c:crosses val="autoZero"/>
        <c:crossBetween val="midCat"/>
        <c:dispUnits/>
        <c:majorUnit val="0.5"/>
      </c:valAx>
      <c:valAx>
        <c:axId val="5571082"/>
        <c:scaling>
          <c:orientation val="minMax"/>
          <c:max val="8"/>
          <c:min val="0"/>
        </c:scaling>
        <c:axPos val="l"/>
        <c:title>
          <c:tx>
            <c:rich>
              <a:bodyPr vert="horz" rot="-5400000" anchor="ctr"/>
              <a:lstStyle/>
              <a:p>
                <a:pPr algn="ctr">
                  <a:defRPr/>
                </a:pPr>
                <a:r>
                  <a:rPr lang="en-US" cap="none" sz="800" b="1" i="0" u="none" baseline="0">
                    <a:latin typeface="Arial"/>
                    <a:ea typeface="Arial"/>
                    <a:cs typeface="Arial"/>
                  </a:rPr>
                  <a:t>%Air Voids</a:t>
                </a:r>
              </a:p>
            </c:rich>
          </c:tx>
          <c:layout>
            <c:manualLayout>
              <c:xMode val="factor"/>
              <c:yMode val="factor"/>
              <c:x val="0.00075"/>
              <c:y val="-0.004"/>
            </c:manualLayout>
          </c:layout>
          <c:overlay val="0"/>
          <c:spPr>
            <a:noFill/>
            <a:ln>
              <a:noFill/>
            </a:ln>
          </c:spPr>
        </c:title>
        <c:majorGridlines/>
        <c:delete val="0"/>
        <c:numFmt formatCode="General" sourceLinked="1"/>
        <c:majorTickMark val="in"/>
        <c:minorTickMark val="none"/>
        <c:tickLblPos val="nextTo"/>
        <c:crossAx val="619009"/>
        <c:crosses val="autoZero"/>
        <c:crossBetween val="midCat"/>
        <c:dispUnits/>
        <c:majorUnit val="1"/>
      </c:valAx>
      <c:spPr>
        <a:solidFill>
          <a:srgbClr val="FFFFFF"/>
        </a:solidFill>
        <a:ln w="12700">
          <a:solidFill>
            <a:srgbClr val="808080"/>
          </a:solidFill>
        </a:ln>
      </c:spPr>
    </c:plotArea>
    <c:legend>
      <c:legendPos val="r"/>
      <c:legendEntry>
        <c:idx val="2"/>
        <c:delete val="1"/>
      </c:legendEntry>
      <c:layout>
        <c:manualLayout>
          <c:xMode val="edge"/>
          <c:yMode val="edge"/>
          <c:x val="0.134"/>
          <c:y val="0.096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%VMA vs. %Binder @NDes</a:t>
            </a:r>
          </a:p>
        </c:rich>
      </c:tx>
      <c:layout>
        <c:manualLayout>
          <c:xMode val="factor"/>
          <c:yMode val="factor"/>
          <c:x val="0.00775"/>
          <c:y val="-0.01875"/>
        </c:manualLayout>
      </c:layout>
      <c:spPr>
        <a:noFill/>
        <a:ln>
          <a:noFill/>
        </a:ln>
      </c:spPr>
    </c:title>
    <c:plotArea>
      <c:layout>
        <c:manualLayout>
          <c:xMode val="edge"/>
          <c:yMode val="edge"/>
          <c:x val="0.0495"/>
          <c:y val="0.05025"/>
          <c:w val="0.85525"/>
          <c:h val="0.7915"/>
        </c:manualLayout>
      </c:layout>
      <c:scatterChart>
        <c:scatterStyle val="smooth"/>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'Varying %AC Report'!$B$37:$B$40</c:f>
              <c:numCache>
                <c:ptCount val="4"/>
                <c:pt idx="0">
                  <c:v>#N/A</c:v>
                </c:pt>
                <c:pt idx="1">
                  <c:v>#N/A</c:v>
                </c:pt>
                <c:pt idx="2">
                  <c:v>#N/A</c:v>
                </c:pt>
                <c:pt idx="3">
                  <c:v>#N/A</c:v>
                </c:pt>
              </c:numCache>
            </c:numRef>
          </c:xVal>
          <c:yVal>
            <c:numRef>
              <c:f>'Varying %AC Report'!$E$37:$E$40</c:f>
              <c:numCache>
                <c:ptCount val="4"/>
                <c:pt idx="0">
                  <c:v>0</c:v>
                </c:pt>
                <c:pt idx="1">
                  <c:v>0</c:v>
                </c:pt>
                <c:pt idx="2">
                  <c:v>0</c:v>
                </c:pt>
                <c:pt idx="3">
                  <c:v>0</c:v>
                </c:pt>
              </c:numCache>
            </c:numRef>
          </c:yVal>
          <c:smooth val="1"/>
        </c:ser>
        <c:ser>
          <c:idx val="1"/>
          <c:order val="1"/>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Calculations!$D$36:$D$37</c:f>
              <c:numCache>
                <c:ptCount val="2"/>
                <c:pt idx="0">
                  <c:v>13</c:v>
                </c:pt>
                <c:pt idx="1">
                  <c:v>13</c:v>
                </c:pt>
              </c:numCache>
            </c:numRef>
          </c:yVal>
          <c:smooth val="1"/>
        </c:ser>
        <c:axId val="50139739"/>
        <c:axId val="48604468"/>
      </c:scatterChart>
      <c:valAx>
        <c:axId val="50139739"/>
        <c:scaling>
          <c:orientation val="minMax"/>
          <c:max val="7"/>
          <c:min val="3.5"/>
        </c:scaling>
        <c:axPos val="b"/>
        <c:title>
          <c:tx>
            <c:rich>
              <a:bodyPr vert="horz" rot="0" anchor="ctr"/>
              <a:lstStyle/>
              <a:p>
                <a:pPr algn="ctr">
                  <a:defRPr/>
                </a:pPr>
                <a:r>
                  <a:rPr lang="en-US" cap="none" sz="800" b="1" i="0" u="none" baseline="0">
                    <a:latin typeface="Arial"/>
                    <a:ea typeface="Arial"/>
                    <a:cs typeface="Arial"/>
                  </a:rPr>
                  <a:t>% Asphalt Binder</a:t>
                </a:r>
              </a:p>
            </c:rich>
          </c:tx>
          <c:layout>
            <c:manualLayout>
              <c:xMode val="factor"/>
              <c:yMode val="factor"/>
              <c:x val="-0.01775"/>
              <c:y val="0"/>
            </c:manualLayout>
          </c:layout>
          <c:overlay val="0"/>
          <c:spPr>
            <a:noFill/>
            <a:ln>
              <a:noFill/>
            </a:ln>
          </c:spPr>
        </c:title>
        <c:majorGridlines/>
        <c:delete val="0"/>
        <c:numFmt formatCode="0.0" sourceLinked="0"/>
        <c:majorTickMark val="in"/>
        <c:minorTickMark val="none"/>
        <c:tickLblPos val="nextTo"/>
        <c:crossAx val="48604468"/>
        <c:crosses val="autoZero"/>
        <c:crossBetween val="midCat"/>
        <c:dispUnits/>
        <c:majorUnit val="0.5"/>
      </c:valAx>
      <c:valAx>
        <c:axId val="48604468"/>
        <c:scaling>
          <c:orientation val="minMax"/>
          <c:max val="15"/>
          <c:min val="10"/>
        </c:scaling>
        <c:axPos val="l"/>
        <c:title>
          <c:tx>
            <c:rich>
              <a:bodyPr vert="horz" rot="-5400000" anchor="ctr"/>
              <a:lstStyle/>
              <a:p>
                <a:pPr algn="ctr">
                  <a:defRPr/>
                </a:pPr>
                <a:r>
                  <a:rPr lang="en-US" cap="none" sz="800" b="1" i="0" u="none" baseline="0">
                    <a:latin typeface="Arial"/>
                    <a:ea typeface="Arial"/>
                    <a:cs typeface="Arial"/>
                  </a:rPr>
                  <a:t>%VMA</a:t>
                </a:r>
              </a:p>
            </c:rich>
          </c:tx>
          <c:layout>
            <c:manualLayout>
              <c:xMode val="factor"/>
              <c:yMode val="factor"/>
              <c:x val="-0.00575"/>
              <c:y val="0"/>
            </c:manualLayout>
          </c:layout>
          <c:overlay val="0"/>
          <c:spPr>
            <a:noFill/>
            <a:ln>
              <a:noFill/>
            </a:ln>
          </c:spPr>
        </c:title>
        <c:majorGridlines/>
        <c:delete val="0"/>
        <c:numFmt formatCode="General" sourceLinked="1"/>
        <c:majorTickMark val="in"/>
        <c:minorTickMark val="none"/>
        <c:tickLblPos val="nextTo"/>
        <c:crossAx val="50139739"/>
        <c:crosses val="autoZero"/>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%VFA vs. %Binder @NDes</a:t>
            </a:r>
          </a:p>
        </c:rich>
      </c:tx>
      <c:layout>
        <c:manualLayout>
          <c:xMode val="factor"/>
          <c:yMode val="factor"/>
          <c:x val="0.0055"/>
          <c:y val="-0.01625"/>
        </c:manualLayout>
      </c:layout>
      <c:spPr>
        <a:noFill/>
        <a:ln>
          <a:noFill/>
        </a:ln>
      </c:spPr>
    </c:title>
    <c:plotArea>
      <c:layout>
        <c:manualLayout>
          <c:xMode val="edge"/>
          <c:yMode val="edge"/>
          <c:x val="0.03975"/>
          <c:y val="0.05025"/>
          <c:w val="0.8155"/>
          <c:h val="0.79025"/>
        </c:manualLayout>
      </c:layout>
      <c:scatterChart>
        <c:scatterStyle val="smooth"/>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'Varying %AC Report'!$B$37:$B$40</c:f>
              <c:numCache>
                <c:ptCount val="4"/>
                <c:pt idx="0">
                  <c:v>#N/A</c:v>
                </c:pt>
                <c:pt idx="1">
                  <c:v>#N/A</c:v>
                </c:pt>
                <c:pt idx="2">
                  <c:v>#N/A</c:v>
                </c:pt>
                <c:pt idx="3">
                  <c:v>#N/A</c:v>
                </c:pt>
              </c:numCache>
            </c:numRef>
          </c:xVal>
          <c:yVal>
            <c:numRef>
              <c:f>'Varying %AC Report'!$F$37:$F$40</c:f>
              <c:numCache>
                <c:ptCount val="4"/>
                <c:pt idx="0">
                  <c:v>0</c:v>
                </c:pt>
                <c:pt idx="1">
                  <c:v>0</c:v>
                </c:pt>
                <c:pt idx="2">
                  <c:v>0</c:v>
                </c:pt>
                <c:pt idx="3">
                  <c:v>0</c:v>
                </c:pt>
              </c:numCache>
            </c:numRef>
          </c:yVal>
          <c:smooth val="1"/>
        </c:ser>
        <c:ser>
          <c:idx val="1"/>
          <c:order val="1"/>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Calculations!$E$36:$E$37</c:f>
              <c:numCache>
                <c:ptCount val="2"/>
                <c:pt idx="0">
                  <c:v>65</c:v>
                </c:pt>
                <c:pt idx="1">
                  <c:v>65</c:v>
                </c:pt>
              </c:numCache>
            </c:numRef>
          </c:yVal>
          <c:smooth val="1"/>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Calculations!$F$36:$F$37</c:f>
              <c:numCache>
                <c:ptCount val="2"/>
                <c:pt idx="0">
                  <c:v>78</c:v>
                </c:pt>
                <c:pt idx="1">
                  <c:v>78</c:v>
                </c:pt>
              </c:numCache>
            </c:numRef>
          </c:yVal>
          <c:smooth val="1"/>
        </c:ser>
        <c:axId val="34787029"/>
        <c:axId val="44647806"/>
      </c:scatterChart>
      <c:valAx>
        <c:axId val="34787029"/>
        <c:scaling>
          <c:orientation val="minMax"/>
          <c:max val="7"/>
          <c:min val="3.5"/>
        </c:scaling>
        <c:axPos val="b"/>
        <c:title>
          <c:tx>
            <c:rich>
              <a:bodyPr vert="horz" rot="0" anchor="ctr"/>
              <a:lstStyle/>
              <a:p>
                <a:pPr algn="ctr">
                  <a:defRPr/>
                </a:pPr>
                <a:r>
                  <a:rPr lang="en-US" cap="none" sz="800" b="1" i="0" u="none" baseline="0">
                    <a:latin typeface="Arial"/>
                    <a:ea typeface="Arial"/>
                    <a:cs typeface="Arial"/>
                  </a:rPr>
                  <a:t>% Asphalt Binder</a:t>
                </a:r>
              </a:p>
            </c:rich>
          </c:tx>
          <c:layout>
            <c:manualLayout>
              <c:xMode val="factor"/>
              <c:yMode val="factor"/>
              <c:x val="-0.01775"/>
              <c:y val="0"/>
            </c:manualLayout>
          </c:layout>
          <c:overlay val="0"/>
          <c:spPr>
            <a:noFill/>
            <a:ln>
              <a:noFill/>
            </a:ln>
          </c:spPr>
        </c:title>
        <c:majorGridlines/>
        <c:delete val="0"/>
        <c:numFmt formatCode="0.0" sourceLinked="0"/>
        <c:majorTickMark val="in"/>
        <c:minorTickMark val="none"/>
        <c:tickLblPos val="nextTo"/>
        <c:crossAx val="44647806"/>
        <c:crosses val="autoZero"/>
        <c:crossBetween val="midCat"/>
        <c:dispUnits/>
        <c:majorUnit val="0.5"/>
      </c:valAx>
      <c:valAx>
        <c:axId val="44647806"/>
        <c:scaling>
          <c:orientation val="minMax"/>
          <c:max val="100"/>
          <c:min val="50"/>
        </c:scaling>
        <c:axPos val="l"/>
        <c:title>
          <c:tx>
            <c:rich>
              <a:bodyPr vert="horz" rot="-5400000" anchor="ctr"/>
              <a:lstStyle/>
              <a:p>
                <a:pPr algn="ctr">
                  <a:defRPr/>
                </a:pPr>
                <a:r>
                  <a:rPr lang="en-US" cap="none" sz="800" b="1" i="0" u="none" baseline="0">
                    <a:latin typeface="Arial"/>
                    <a:ea typeface="Arial"/>
                    <a:cs typeface="Arial"/>
                  </a:rPr>
                  <a:t>%VFA</a:t>
                </a:r>
              </a:p>
            </c:rich>
          </c:tx>
          <c:layout>
            <c:manualLayout>
              <c:xMode val="factor"/>
              <c:yMode val="factor"/>
              <c:x val="-0.00575"/>
              <c:y val="0"/>
            </c:manualLayout>
          </c:layout>
          <c:overlay val="0"/>
          <c:spPr>
            <a:noFill/>
            <a:ln>
              <a:noFill/>
            </a:ln>
          </c:spPr>
        </c:title>
        <c:majorGridlines/>
        <c:delete val="0"/>
        <c:numFmt formatCode="General" sourceLinked="1"/>
        <c:majorTickMark val="in"/>
        <c:minorTickMark val="none"/>
        <c:tickLblPos val="nextTo"/>
        <c:crossAx val="34787029"/>
        <c:crosses val="autoZero"/>
        <c:crossBetween val="midCat"/>
        <c:dispUnits/>
        <c:majorUnit val="5"/>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%Gmm @ Nini</a:t>
            </a:r>
          </a:p>
        </c:rich>
      </c:tx>
      <c:layout>
        <c:manualLayout>
          <c:xMode val="factor"/>
          <c:yMode val="factor"/>
          <c:x val="-0.052"/>
          <c:y val="-0.01825"/>
        </c:manualLayout>
      </c:layout>
      <c:spPr>
        <a:noFill/>
        <a:ln>
          <a:noFill/>
        </a:ln>
      </c:spPr>
    </c:title>
    <c:plotArea>
      <c:layout>
        <c:manualLayout>
          <c:xMode val="edge"/>
          <c:yMode val="edge"/>
          <c:x val="0.1295"/>
          <c:y val="0.094"/>
          <c:w val="0.73475"/>
          <c:h val="0.738"/>
        </c:manualLayout>
      </c:layout>
      <c:scatterChart>
        <c:scatterStyle val="smooth"/>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'Varying %AC Report'!$B$77:$B$80</c:f>
              <c:numCache>
                <c:ptCount val="4"/>
                <c:pt idx="0">
                  <c:v>4.3</c:v>
                </c:pt>
                <c:pt idx="1">
                  <c:v>4.8</c:v>
                </c:pt>
                <c:pt idx="2">
                  <c:v>5.3</c:v>
                </c:pt>
                <c:pt idx="3">
                  <c:v>5.8</c:v>
                </c:pt>
              </c:numCache>
            </c:numRef>
          </c:xVal>
          <c:yVal>
            <c:numRef>
              <c:f>'Varying %AC Report'!$C$77:$C$80</c:f>
              <c:numCache>
                <c:ptCount val="4"/>
                <c:pt idx="0">
                  <c:v>83.1676688097306</c:v>
                </c:pt>
                <c:pt idx="1">
                  <c:v>84.51520638213702</c:v>
                </c:pt>
                <c:pt idx="2">
                  <c:v>86.13217125466178</c:v>
                </c:pt>
                <c:pt idx="3">
                  <c:v>86.49472602023519</c:v>
                </c:pt>
              </c:numCache>
            </c:numRef>
          </c:yVal>
          <c:smooth val="1"/>
        </c:ser>
        <c:ser>
          <c:idx val="1"/>
          <c:order val="1"/>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Calculations!$H$36:$H$37</c:f>
              <c:numCache>
                <c:ptCount val="2"/>
                <c:pt idx="0">
                  <c:v>90.5</c:v>
                </c:pt>
                <c:pt idx="1">
                  <c:v>90.5</c:v>
                </c:pt>
              </c:numCache>
            </c:numRef>
          </c:yVal>
          <c:smooth val="1"/>
        </c:ser>
        <c:axId val="66285935"/>
        <c:axId val="59702504"/>
      </c:scatterChart>
      <c:valAx>
        <c:axId val="66285935"/>
        <c:scaling>
          <c:orientation val="minMax"/>
          <c:max val="7"/>
          <c:min val="3.5"/>
        </c:scaling>
        <c:axPos val="b"/>
        <c:title>
          <c:tx>
            <c:rich>
              <a:bodyPr vert="horz" rot="0" anchor="ctr"/>
              <a:lstStyle/>
              <a:p>
                <a:pPr algn="ctr">
                  <a:defRPr/>
                </a:pPr>
                <a:r>
                  <a:rPr lang="en-US" cap="none" sz="800" b="1" i="0" u="none" baseline="0">
                    <a:latin typeface="Arial"/>
                    <a:ea typeface="Arial"/>
                    <a:cs typeface="Arial"/>
                  </a:rPr>
                  <a:t>% Asphalt Binder</a:t>
                </a:r>
              </a:p>
            </c:rich>
          </c:tx>
          <c:layout/>
          <c:overlay val="0"/>
          <c:spPr>
            <a:noFill/>
            <a:ln>
              <a:noFill/>
            </a:ln>
          </c:spPr>
        </c:title>
        <c:majorGridlines/>
        <c:delete val="0"/>
        <c:numFmt formatCode="General" sourceLinked="1"/>
        <c:majorTickMark val="in"/>
        <c:minorTickMark val="none"/>
        <c:tickLblPos val="nextTo"/>
        <c:crossAx val="59702504"/>
        <c:crosses val="autoZero"/>
        <c:crossBetween val="midCat"/>
        <c:dispUnits/>
        <c:majorUnit val="0.5"/>
      </c:valAx>
      <c:valAx>
        <c:axId val="59702504"/>
        <c:scaling>
          <c:orientation val="minMax"/>
          <c:max val="92"/>
          <c:min val="82"/>
        </c:scaling>
        <c:axPos val="l"/>
        <c:title>
          <c:tx>
            <c:rich>
              <a:bodyPr vert="horz" rot="-5400000" anchor="ctr"/>
              <a:lstStyle/>
              <a:p>
                <a:pPr algn="ctr">
                  <a:defRPr/>
                </a:pPr>
                <a:r>
                  <a:rPr lang="en-US" cap="none" sz="800" b="1" i="0" u="none" baseline="0">
                    <a:latin typeface="Arial"/>
                    <a:ea typeface="Arial"/>
                    <a:cs typeface="Arial"/>
                  </a:rPr>
                  <a:t>%Gmm @ Nini</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crossAx val="66285935"/>
        <c:crosses val="autoZero"/>
        <c:crossBetween val="midCat"/>
        <c:dispUnits/>
        <c:majorUnit val="2"/>
      </c:valAx>
      <c:spPr>
        <a:noFill/>
        <a:ln w="12700">
          <a:solidFill>
            <a:srgbClr val="00000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%Gmm @ Nmax</a:t>
            </a:r>
          </a:p>
        </c:rich>
      </c:tx>
      <c:layout>
        <c:manualLayout>
          <c:xMode val="factor"/>
          <c:yMode val="factor"/>
          <c:x val="0.07725"/>
          <c:y val="-0.01925"/>
        </c:manualLayout>
      </c:layout>
      <c:spPr>
        <a:noFill/>
        <a:ln>
          <a:noFill/>
        </a:ln>
      </c:spPr>
    </c:title>
    <c:plotArea>
      <c:layout>
        <c:manualLayout>
          <c:xMode val="edge"/>
          <c:yMode val="edge"/>
          <c:x val="0.15125"/>
          <c:y val="0.121"/>
          <c:w val="0.737"/>
          <c:h val="0.65525"/>
        </c:manualLayout>
      </c:layout>
      <c:scatterChart>
        <c:scatterStyle val="smooth"/>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'Varying %AC Report'!$B$77:$B$80</c:f>
              <c:numCache>
                <c:ptCount val="4"/>
                <c:pt idx="0">
                  <c:v>4.3</c:v>
                </c:pt>
                <c:pt idx="1">
                  <c:v>4.8</c:v>
                </c:pt>
                <c:pt idx="2">
                  <c:v>5.3</c:v>
                </c:pt>
                <c:pt idx="3">
                  <c:v>5.8</c:v>
                </c:pt>
              </c:numCache>
            </c:numRef>
          </c:xVal>
          <c:yVal>
            <c:numRef>
              <c:f>'Varying %AC Report'!$D$77:$D$80</c:f>
              <c:numCache>
                <c:ptCount val="4"/>
                <c:pt idx="0">
                  <c:v>94.57165416502171</c:v>
                </c:pt>
                <c:pt idx="1">
                  <c:v>96.14160700079555</c:v>
                </c:pt>
                <c:pt idx="2">
                  <c:v>97.65531062124248</c:v>
                </c:pt>
                <c:pt idx="3">
                  <c:v>98.00161485668147</c:v>
                </c:pt>
              </c:numCache>
            </c:numRef>
          </c:yVal>
          <c:smooth val="1"/>
        </c:ser>
        <c:ser>
          <c:idx val="1"/>
          <c:order val="1"/>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Calculations!$I$36:$I$37</c:f>
              <c:numCache>
                <c:ptCount val="2"/>
                <c:pt idx="0">
                  <c:v>98</c:v>
                </c:pt>
                <c:pt idx="1">
                  <c:v>98</c:v>
                </c:pt>
              </c:numCache>
            </c:numRef>
          </c:yVal>
          <c:smooth val="1"/>
        </c:ser>
        <c:axId val="451625"/>
        <c:axId val="4064626"/>
      </c:scatterChart>
      <c:valAx>
        <c:axId val="451625"/>
        <c:scaling>
          <c:orientation val="minMax"/>
          <c:max val="7"/>
          <c:min val="3.5"/>
        </c:scaling>
        <c:axPos val="b"/>
        <c:title>
          <c:tx>
            <c:rich>
              <a:bodyPr vert="horz" rot="0" anchor="ctr"/>
              <a:lstStyle/>
              <a:p>
                <a:pPr algn="ctr">
                  <a:defRPr/>
                </a:pPr>
                <a:r>
                  <a:rPr lang="en-US" cap="none" sz="800" b="1" i="0" u="none" baseline="0">
                    <a:latin typeface="Arial"/>
                    <a:ea typeface="Arial"/>
                    <a:cs typeface="Arial"/>
                  </a:rPr>
                  <a:t>% Asphalt Binder</a:t>
                </a:r>
              </a:p>
            </c:rich>
          </c:tx>
          <c:layout/>
          <c:overlay val="0"/>
          <c:spPr>
            <a:noFill/>
            <a:ln>
              <a:noFill/>
            </a:ln>
          </c:spPr>
        </c:title>
        <c:majorGridlines/>
        <c:delete val="0"/>
        <c:numFmt formatCode="General" sourceLinked="1"/>
        <c:majorTickMark val="in"/>
        <c:minorTickMark val="none"/>
        <c:tickLblPos val="nextTo"/>
        <c:crossAx val="4064626"/>
        <c:crosses val="autoZero"/>
        <c:crossBetween val="midCat"/>
        <c:dispUnits/>
        <c:majorUnit val="0.5"/>
      </c:valAx>
      <c:valAx>
        <c:axId val="4064626"/>
        <c:scaling>
          <c:orientation val="minMax"/>
          <c:max val="100"/>
          <c:min val="94"/>
        </c:scaling>
        <c:axPos val="l"/>
        <c:title>
          <c:tx>
            <c:rich>
              <a:bodyPr vert="horz" rot="-5400000" anchor="ctr"/>
              <a:lstStyle/>
              <a:p>
                <a:pPr algn="ctr">
                  <a:defRPr/>
                </a:pPr>
                <a:r>
                  <a:rPr lang="en-US" cap="none" sz="800" b="1" i="0" u="none" baseline="0">
                    <a:latin typeface="Arial"/>
                    <a:ea typeface="Arial"/>
                    <a:cs typeface="Arial"/>
                  </a:rPr>
                  <a:t>%Gmm @ Nmax</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crossAx val="451625"/>
        <c:crosses val="autoZero"/>
        <c:crossBetween val="midCat"/>
        <c:dispUnits/>
        <c:majorUnit val="1"/>
      </c:valAx>
      <c:spPr>
        <a:noFill/>
        <a:ln w="12700">
          <a:solidFill>
            <a:srgbClr val="00000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Density</a:t>
            </a:r>
          </a:p>
        </c:rich>
      </c:tx>
      <c:layout/>
      <c:spPr>
        <a:noFill/>
        <a:ln>
          <a:noFill/>
        </a:ln>
      </c:spPr>
    </c:title>
    <c:plotArea>
      <c:layout>
        <c:manualLayout>
          <c:xMode val="edge"/>
          <c:yMode val="edge"/>
          <c:x val="0.045"/>
          <c:y val="0.07925"/>
          <c:w val="0.82325"/>
          <c:h val="0.84675"/>
        </c:manualLayout>
      </c:layout>
      <c:scatterChart>
        <c:scatterStyle val="lineMarker"/>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'Varying %AC Report'!$B$77:$B$80</c:f>
              <c:numCache>
                <c:ptCount val="4"/>
                <c:pt idx="0">
                  <c:v>4.3</c:v>
                </c:pt>
                <c:pt idx="1">
                  <c:v>4.8</c:v>
                </c:pt>
                <c:pt idx="2">
                  <c:v>5.3</c:v>
                </c:pt>
                <c:pt idx="3">
                  <c:v>5.8</c:v>
                </c:pt>
              </c:numCache>
            </c:numRef>
          </c:xVal>
          <c:yVal>
            <c:numRef>
              <c:f>'Varying %AC Report'!$E$77:$E$80</c:f>
              <c:numCache>
                <c:ptCount val="4"/>
                <c:pt idx="0">
                  <c:v>2355.1364335797966</c:v>
                </c:pt>
                <c:pt idx="1">
                  <c:v>2382.6344287862776</c:v>
                </c:pt>
                <c:pt idx="2">
                  <c:v>2398.6918722664714</c:v>
                </c:pt>
                <c:pt idx="3">
                  <c:v>2396.4735793614213</c:v>
                </c:pt>
              </c:numCache>
            </c:numRef>
          </c:yVal>
          <c:smooth val="1"/>
        </c:ser>
        <c:axId val="36581635"/>
        <c:axId val="60799260"/>
      </c:scatterChart>
      <c:valAx>
        <c:axId val="36581635"/>
        <c:scaling>
          <c:orientation val="minMax"/>
          <c:max val="7"/>
          <c:min val="3.5"/>
        </c:scaling>
        <c:axPos val="b"/>
        <c:title>
          <c:tx>
            <c:rich>
              <a:bodyPr vert="horz" rot="0" anchor="ctr"/>
              <a:lstStyle/>
              <a:p>
                <a:pPr algn="ctr">
                  <a:defRPr/>
                </a:pPr>
                <a:r>
                  <a:rPr lang="en-US" cap="none" sz="800" b="1" i="0" u="none" baseline="0">
                    <a:latin typeface="Arial"/>
                    <a:ea typeface="Arial"/>
                    <a:cs typeface="Arial"/>
                  </a:rPr>
                  <a:t>% Asphalt Binder</a:t>
                </a:r>
              </a:p>
            </c:rich>
          </c:tx>
          <c:layout/>
          <c:overlay val="0"/>
          <c:spPr>
            <a:noFill/>
            <a:ln>
              <a:noFill/>
            </a:ln>
          </c:spPr>
        </c:title>
        <c:majorGridlines/>
        <c:delete val="0"/>
        <c:numFmt formatCode="General" sourceLinked="1"/>
        <c:majorTickMark val="in"/>
        <c:minorTickMark val="none"/>
        <c:tickLblPos val="nextTo"/>
        <c:crossAx val="60799260"/>
        <c:crosses val="autoZero"/>
        <c:crossBetween val="midCat"/>
        <c:dispUnits/>
        <c:majorUnit val="0.5"/>
      </c:valAx>
      <c:valAx>
        <c:axId val="60799260"/>
        <c:scaling>
          <c:orientation val="minMax"/>
          <c:max val="2500"/>
          <c:min val="2300"/>
        </c:scaling>
        <c:axPos val="l"/>
        <c:title>
          <c:tx>
            <c:rich>
              <a:bodyPr vert="horz" rot="-5400000" anchor="ctr"/>
              <a:lstStyle/>
              <a:p>
                <a:pPr algn="ctr">
                  <a:defRPr/>
                </a:pPr>
                <a:r>
                  <a:rPr lang="en-US" cap="none" sz="800" b="1" i="0" u="none" baseline="0">
                    <a:latin typeface="Arial"/>
                    <a:ea typeface="Arial"/>
                    <a:cs typeface="Arial"/>
                  </a:rPr>
                  <a:t>Density</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crossAx val="36581635"/>
        <c:crosses val="autoZero"/>
        <c:crossBetween val="midCat"/>
        <c:dispUnits/>
        <c:majorUnit val="50"/>
      </c:valAx>
      <c:spPr>
        <a:noFill/>
        <a:ln w="12700">
          <a:solidFill>
            <a:srgbClr val="00000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Dust/Asphalt Ratio</a:t>
            </a:r>
          </a:p>
        </c:rich>
      </c:tx>
      <c:layout/>
      <c:spPr>
        <a:noFill/>
        <a:ln>
          <a:noFill/>
        </a:ln>
      </c:spPr>
    </c:title>
    <c:plotArea>
      <c:layout>
        <c:manualLayout>
          <c:xMode val="edge"/>
          <c:yMode val="edge"/>
          <c:x val="0.225"/>
          <c:y val="0.1015"/>
          <c:w val="0.661"/>
          <c:h val="0.68125"/>
        </c:manualLayout>
      </c:layout>
      <c:scatterChart>
        <c:scatterStyle val="lineMarker"/>
        <c:varyColors val="0"/>
        <c:ser>
          <c:idx val="0"/>
          <c:order val="0"/>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'Varying %AC Report'!$B$77:$B$80</c:f>
              <c:numCache>
                <c:ptCount val="4"/>
                <c:pt idx="0">
                  <c:v>4.3</c:v>
                </c:pt>
                <c:pt idx="1">
                  <c:v>4.8</c:v>
                </c:pt>
                <c:pt idx="2">
                  <c:v>5.3</c:v>
                </c:pt>
                <c:pt idx="3">
                  <c:v>5.8</c:v>
                </c:pt>
              </c:numCache>
            </c:numRef>
          </c:xVal>
          <c:yVal>
            <c:numRef>
              <c:f>'Varying %AC Report'!$F$77:$F$80</c:f>
              <c:numCache>
                <c:ptCount val="4"/>
                <c:pt idx="0">
                  <c:v>1.4907226365491941</c:v>
                </c:pt>
                <c:pt idx="1">
                  <c:v>1.300174017787669</c:v>
                </c:pt>
                <c:pt idx="2">
                  <c:v>1.1516002162420436</c:v>
                </c:pt>
                <c:pt idx="3">
                  <c:v>1.0360180061170337</c:v>
                </c:pt>
              </c:numCache>
            </c:numRef>
          </c:yVal>
          <c:smooth val="1"/>
        </c:ser>
        <c:ser>
          <c:idx val="1"/>
          <c:order val="1"/>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Calculations!$J$36:$J$37</c:f>
              <c:numCache>
                <c:ptCount val="2"/>
                <c:pt idx="0">
                  <c:v>0.6</c:v>
                </c:pt>
                <c:pt idx="1">
                  <c:v>0.6</c:v>
                </c:pt>
              </c:numCache>
            </c:numRef>
          </c:yVal>
          <c:smooth val="0"/>
        </c:ser>
        <c:ser>
          <c:idx val="2"/>
          <c:order val="2"/>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Calculations!$C$36:$C$37</c:f>
              <c:numCache>
                <c:ptCount val="2"/>
                <c:pt idx="0">
                  <c:v>3.5</c:v>
                </c:pt>
                <c:pt idx="1">
                  <c:v>7</c:v>
                </c:pt>
              </c:numCache>
            </c:numRef>
          </c:xVal>
          <c:yVal>
            <c:numRef>
              <c:f>Calculations!$K$36:$K$37</c:f>
              <c:numCache>
                <c:ptCount val="2"/>
                <c:pt idx="0">
                  <c:v>1.2</c:v>
                </c:pt>
                <c:pt idx="1">
                  <c:v>1.2</c:v>
                </c:pt>
              </c:numCache>
            </c:numRef>
          </c:yVal>
          <c:smooth val="0"/>
        </c:ser>
        <c:axId val="10322429"/>
        <c:axId val="25792998"/>
      </c:scatterChart>
      <c:valAx>
        <c:axId val="10322429"/>
        <c:scaling>
          <c:orientation val="minMax"/>
          <c:max val="7"/>
          <c:min val="3.5"/>
        </c:scaling>
        <c:axPos val="b"/>
        <c:title>
          <c:tx>
            <c:rich>
              <a:bodyPr vert="horz" rot="0" anchor="ctr"/>
              <a:lstStyle/>
              <a:p>
                <a:pPr algn="ctr">
                  <a:defRPr/>
                </a:pPr>
                <a:r>
                  <a:rPr lang="en-US" cap="none" sz="800" b="1" i="0" u="none" baseline="0">
                    <a:latin typeface="Arial"/>
                    <a:ea typeface="Arial"/>
                    <a:cs typeface="Arial"/>
                  </a:rPr>
                  <a:t>% Asphalt Binder</a:t>
                </a:r>
              </a:p>
            </c:rich>
          </c:tx>
          <c:layout/>
          <c:overlay val="0"/>
          <c:spPr>
            <a:noFill/>
            <a:ln>
              <a:noFill/>
            </a:ln>
          </c:spPr>
        </c:title>
        <c:majorGridlines/>
        <c:delete val="0"/>
        <c:numFmt formatCode="General" sourceLinked="1"/>
        <c:majorTickMark val="in"/>
        <c:minorTickMark val="none"/>
        <c:tickLblPos val="nextTo"/>
        <c:crossAx val="25792998"/>
        <c:crosses val="autoZero"/>
        <c:crossBetween val="midCat"/>
        <c:dispUnits/>
        <c:majorUnit val="0.5"/>
      </c:valAx>
      <c:valAx>
        <c:axId val="25792998"/>
        <c:scaling>
          <c:orientation val="minMax"/>
          <c:max val="2"/>
          <c:min val="0.4"/>
        </c:scaling>
        <c:axPos val="l"/>
        <c:title>
          <c:tx>
            <c:rich>
              <a:bodyPr vert="horz" rot="-5400000" anchor="ctr"/>
              <a:lstStyle/>
              <a:p>
                <a:pPr algn="ctr">
                  <a:defRPr/>
                </a:pPr>
                <a:r>
                  <a:rPr lang="en-US" cap="none" sz="800" b="1" i="0" u="none" baseline="0">
                    <a:latin typeface="Arial"/>
                    <a:ea typeface="Arial"/>
                    <a:cs typeface="Arial"/>
                  </a:rPr>
                  <a:t>% Passing .075mm / Pbe</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crossAx val="10322429"/>
        <c:crosses val="autoZero"/>
        <c:crossBetween val="midCat"/>
        <c:dispUnits/>
        <c:majorUnit val="0.2"/>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17</xdr:row>
      <xdr:rowOff>57150</xdr:rowOff>
    </xdr:from>
    <xdr:to>
      <xdr:col>0</xdr:col>
      <xdr:colOff>704850</xdr:colOff>
      <xdr:row>19</xdr:row>
      <xdr:rowOff>57150</xdr:rowOff>
    </xdr:to>
    <xdr:sp>
      <xdr:nvSpPr>
        <xdr:cNvPr id="1" name="Rectangle 9"/>
        <xdr:cNvSpPr>
          <a:spLocks/>
        </xdr:cNvSpPr>
      </xdr:nvSpPr>
      <xdr:spPr>
        <a:xfrm>
          <a:off x="95250" y="3171825"/>
          <a:ext cx="609600" cy="323850"/>
        </a:xfrm>
        <a:prstGeom prst="rect">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1</xdr:row>
      <xdr:rowOff>28575</xdr:rowOff>
    </xdr:from>
    <xdr:to>
      <xdr:col>9</xdr:col>
      <xdr:colOff>419100</xdr:colOff>
      <xdr:row>4</xdr:row>
      <xdr:rowOff>76200</xdr:rowOff>
    </xdr:to>
    <xdr:pic>
      <xdr:nvPicPr>
        <xdr:cNvPr id="1" name="Picture 5"/>
        <xdr:cNvPicPr preferRelativeResize="1">
          <a:picLocks noChangeAspect="1"/>
        </xdr:cNvPicPr>
      </xdr:nvPicPr>
      <xdr:blipFill>
        <a:blip r:embed="rId1"/>
        <a:stretch>
          <a:fillRect/>
        </a:stretch>
      </xdr:blipFill>
      <xdr:spPr>
        <a:xfrm>
          <a:off x="3676650" y="190500"/>
          <a:ext cx="21431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18</xdr:row>
      <xdr:rowOff>66675</xdr:rowOff>
    </xdr:from>
    <xdr:to>
      <xdr:col>7</xdr:col>
      <xdr:colOff>152400</xdr:colOff>
      <xdr:row>27</xdr:row>
      <xdr:rowOff>133350</xdr:rowOff>
    </xdr:to>
    <xdr:sp>
      <xdr:nvSpPr>
        <xdr:cNvPr id="1" name="Rectangle 23"/>
        <xdr:cNvSpPr>
          <a:spLocks/>
        </xdr:cNvSpPr>
      </xdr:nvSpPr>
      <xdr:spPr>
        <a:xfrm>
          <a:off x="3781425" y="3619500"/>
          <a:ext cx="1895475"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10</xdr:col>
      <xdr:colOff>485775</xdr:colOff>
      <xdr:row>76</xdr:row>
      <xdr:rowOff>66675</xdr:rowOff>
    </xdr:to>
    <xdr:graphicFrame>
      <xdr:nvGraphicFramePr>
        <xdr:cNvPr id="1" name="Chart 52"/>
        <xdr:cNvGraphicFramePr/>
      </xdr:nvGraphicFramePr>
      <xdr:xfrm>
        <a:off x="0" y="8162925"/>
        <a:ext cx="6886575" cy="4238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47625</xdr:rowOff>
    </xdr:from>
    <xdr:to>
      <xdr:col>3</xdr:col>
      <xdr:colOff>19050</xdr:colOff>
      <xdr:row>18</xdr:row>
      <xdr:rowOff>142875</xdr:rowOff>
    </xdr:to>
    <xdr:graphicFrame>
      <xdr:nvGraphicFramePr>
        <xdr:cNvPr id="1" name="Chart 120"/>
        <xdr:cNvGraphicFramePr/>
      </xdr:nvGraphicFramePr>
      <xdr:xfrm>
        <a:off x="47625" y="1028700"/>
        <a:ext cx="2552700" cy="2038350"/>
      </xdr:xfrm>
      <a:graphic>
        <a:graphicData uri="http://schemas.openxmlformats.org/drawingml/2006/chart">
          <c:chart xmlns:c="http://schemas.openxmlformats.org/drawingml/2006/chart" r:id="rId1"/>
        </a:graphicData>
      </a:graphic>
    </xdr:graphicFrame>
    <xdr:clientData/>
  </xdr:twoCellAnchor>
  <xdr:twoCellAnchor>
    <xdr:from>
      <xdr:col>3</xdr:col>
      <xdr:colOff>219075</xdr:colOff>
      <xdr:row>6</xdr:row>
      <xdr:rowOff>47625</xdr:rowOff>
    </xdr:from>
    <xdr:to>
      <xdr:col>6</xdr:col>
      <xdr:colOff>733425</xdr:colOff>
      <xdr:row>18</xdr:row>
      <xdr:rowOff>142875</xdr:rowOff>
    </xdr:to>
    <xdr:graphicFrame>
      <xdr:nvGraphicFramePr>
        <xdr:cNvPr id="2" name="Chart 121"/>
        <xdr:cNvGraphicFramePr/>
      </xdr:nvGraphicFramePr>
      <xdr:xfrm>
        <a:off x="2800350" y="1028700"/>
        <a:ext cx="2552700" cy="20383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19</xdr:row>
      <xdr:rowOff>123825</xdr:rowOff>
    </xdr:from>
    <xdr:to>
      <xdr:col>3</xdr:col>
      <xdr:colOff>19050</xdr:colOff>
      <xdr:row>32</xdr:row>
      <xdr:rowOff>76200</xdr:rowOff>
    </xdr:to>
    <xdr:graphicFrame>
      <xdr:nvGraphicFramePr>
        <xdr:cNvPr id="3" name="Chart 122"/>
        <xdr:cNvGraphicFramePr/>
      </xdr:nvGraphicFramePr>
      <xdr:xfrm>
        <a:off x="47625" y="3209925"/>
        <a:ext cx="2552700" cy="2057400"/>
      </xdr:xfrm>
      <a:graphic>
        <a:graphicData uri="http://schemas.openxmlformats.org/drawingml/2006/chart">
          <c:chart xmlns:c="http://schemas.openxmlformats.org/drawingml/2006/chart" r:id="rId3"/>
        </a:graphicData>
      </a:graphic>
    </xdr:graphicFrame>
    <xdr:clientData/>
  </xdr:twoCellAnchor>
  <xdr:twoCellAnchor>
    <xdr:from>
      <xdr:col>3</xdr:col>
      <xdr:colOff>219075</xdr:colOff>
      <xdr:row>19</xdr:row>
      <xdr:rowOff>123825</xdr:rowOff>
    </xdr:from>
    <xdr:to>
      <xdr:col>7</xdr:col>
      <xdr:colOff>0</xdr:colOff>
      <xdr:row>32</xdr:row>
      <xdr:rowOff>76200</xdr:rowOff>
    </xdr:to>
    <xdr:graphicFrame>
      <xdr:nvGraphicFramePr>
        <xdr:cNvPr id="4" name="Chart 123"/>
        <xdr:cNvGraphicFramePr/>
      </xdr:nvGraphicFramePr>
      <xdr:xfrm>
        <a:off x="2800350" y="3209925"/>
        <a:ext cx="2562225" cy="20574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47</xdr:row>
      <xdr:rowOff>47625</xdr:rowOff>
    </xdr:from>
    <xdr:to>
      <xdr:col>3</xdr:col>
      <xdr:colOff>19050</xdr:colOff>
      <xdr:row>59</xdr:row>
      <xdr:rowOff>142875</xdr:rowOff>
    </xdr:to>
    <xdr:graphicFrame>
      <xdr:nvGraphicFramePr>
        <xdr:cNvPr id="5" name="Chart 124"/>
        <xdr:cNvGraphicFramePr/>
      </xdr:nvGraphicFramePr>
      <xdr:xfrm>
        <a:off x="47625" y="8134350"/>
        <a:ext cx="2552700" cy="2038350"/>
      </xdr:xfrm>
      <a:graphic>
        <a:graphicData uri="http://schemas.openxmlformats.org/drawingml/2006/chart">
          <c:chart xmlns:c="http://schemas.openxmlformats.org/drawingml/2006/chart" r:id="rId5"/>
        </a:graphicData>
      </a:graphic>
    </xdr:graphicFrame>
    <xdr:clientData/>
  </xdr:twoCellAnchor>
  <xdr:twoCellAnchor>
    <xdr:from>
      <xdr:col>3</xdr:col>
      <xdr:colOff>209550</xdr:colOff>
      <xdr:row>47</xdr:row>
      <xdr:rowOff>47625</xdr:rowOff>
    </xdr:from>
    <xdr:to>
      <xdr:col>6</xdr:col>
      <xdr:colOff>733425</xdr:colOff>
      <xdr:row>59</xdr:row>
      <xdr:rowOff>142875</xdr:rowOff>
    </xdr:to>
    <xdr:graphicFrame>
      <xdr:nvGraphicFramePr>
        <xdr:cNvPr id="6" name="Chart 125"/>
        <xdr:cNvGraphicFramePr/>
      </xdr:nvGraphicFramePr>
      <xdr:xfrm>
        <a:off x="2790825" y="8134350"/>
        <a:ext cx="2562225" cy="2038350"/>
      </xdr:xfrm>
      <a:graphic>
        <a:graphicData uri="http://schemas.openxmlformats.org/drawingml/2006/chart">
          <c:chart xmlns:c="http://schemas.openxmlformats.org/drawingml/2006/chart" r:id="rId6"/>
        </a:graphicData>
      </a:graphic>
    </xdr:graphicFrame>
    <xdr:clientData/>
  </xdr:twoCellAnchor>
  <xdr:twoCellAnchor>
    <xdr:from>
      <xdr:col>0</xdr:col>
      <xdr:colOff>47625</xdr:colOff>
      <xdr:row>60</xdr:row>
      <xdr:rowOff>123825</xdr:rowOff>
    </xdr:from>
    <xdr:to>
      <xdr:col>3</xdr:col>
      <xdr:colOff>19050</xdr:colOff>
      <xdr:row>73</xdr:row>
      <xdr:rowOff>66675</xdr:rowOff>
    </xdr:to>
    <xdr:graphicFrame>
      <xdr:nvGraphicFramePr>
        <xdr:cNvPr id="7" name="Chart 126"/>
        <xdr:cNvGraphicFramePr/>
      </xdr:nvGraphicFramePr>
      <xdr:xfrm>
        <a:off x="47625" y="10315575"/>
        <a:ext cx="2552700" cy="2047875"/>
      </xdr:xfrm>
      <a:graphic>
        <a:graphicData uri="http://schemas.openxmlformats.org/drawingml/2006/chart">
          <c:chart xmlns:c="http://schemas.openxmlformats.org/drawingml/2006/chart" r:id="rId7"/>
        </a:graphicData>
      </a:graphic>
    </xdr:graphicFrame>
    <xdr:clientData/>
  </xdr:twoCellAnchor>
  <xdr:twoCellAnchor>
    <xdr:from>
      <xdr:col>3</xdr:col>
      <xdr:colOff>209550</xdr:colOff>
      <xdr:row>60</xdr:row>
      <xdr:rowOff>123825</xdr:rowOff>
    </xdr:from>
    <xdr:to>
      <xdr:col>6</xdr:col>
      <xdr:colOff>733425</xdr:colOff>
      <xdr:row>73</xdr:row>
      <xdr:rowOff>66675</xdr:rowOff>
    </xdr:to>
    <xdr:graphicFrame>
      <xdr:nvGraphicFramePr>
        <xdr:cNvPr id="8" name="Chart 127"/>
        <xdr:cNvGraphicFramePr/>
      </xdr:nvGraphicFramePr>
      <xdr:xfrm>
        <a:off x="2790825" y="10315575"/>
        <a:ext cx="2562225" cy="2047875"/>
      </xdr:xfrm>
      <a:graphic>
        <a:graphicData uri="http://schemas.openxmlformats.org/drawingml/2006/chart">
          <c:chart xmlns:c="http://schemas.openxmlformats.org/drawingml/2006/chart" r:id="rId8"/>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25</xdr:row>
      <xdr:rowOff>0</xdr:rowOff>
    </xdr:to>
    <xdr:graphicFrame>
      <xdr:nvGraphicFramePr>
        <xdr:cNvPr id="1" name="Chart 1"/>
        <xdr:cNvGraphicFramePr/>
      </xdr:nvGraphicFramePr>
      <xdr:xfrm>
        <a:off x="0" y="0"/>
        <a:ext cx="6096000" cy="4343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304800</xdr:colOff>
      <xdr:row>0</xdr:row>
      <xdr:rowOff>47625</xdr:rowOff>
    </xdr:from>
    <xdr:to>
      <xdr:col>12</xdr:col>
      <xdr:colOff>95250</xdr:colOff>
      <xdr:row>3</xdr:row>
      <xdr:rowOff>114300</xdr:rowOff>
    </xdr:to>
    <xdr:sp>
      <xdr:nvSpPr>
        <xdr:cNvPr id="1" name="Text 1"/>
        <xdr:cNvSpPr txBox="1">
          <a:spLocks noChangeArrowheads="1"/>
        </xdr:cNvSpPr>
      </xdr:nvSpPr>
      <xdr:spPr>
        <a:xfrm>
          <a:off x="8582025" y="47625"/>
          <a:ext cx="2838450" cy="885825"/>
        </a:xfrm>
        <a:prstGeom prst="rect">
          <a:avLst/>
        </a:prstGeom>
        <a:solidFill>
          <a:srgbClr val="C0C0C0"/>
        </a:solidFill>
        <a:ln w="1"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Note:  Title text will change, depending on "Workbook Type" selected on the "Project" Worksheet.</a:t>
          </a:r>
        </a:p>
      </xdr:txBody>
    </xdr:sp>
    <xdr:clientData fPrintsWithSheet="0"/>
  </xdr:twoCellAnchor>
  <xdr:twoCellAnchor editAs="absolute">
    <xdr:from>
      <xdr:col>6</xdr:col>
      <xdr:colOff>28575</xdr:colOff>
      <xdr:row>0</xdr:row>
      <xdr:rowOff>142875</xdr:rowOff>
    </xdr:from>
    <xdr:to>
      <xdr:col>7</xdr:col>
      <xdr:colOff>295275</xdr:colOff>
      <xdr:row>0</xdr:row>
      <xdr:rowOff>142875</xdr:rowOff>
    </xdr:to>
    <xdr:sp>
      <xdr:nvSpPr>
        <xdr:cNvPr id="2" name="Line 3"/>
        <xdr:cNvSpPr>
          <a:spLocks/>
        </xdr:cNvSpPr>
      </xdr:nvSpPr>
      <xdr:spPr>
        <a:xfrm flipH="1" flipV="1">
          <a:off x="7648575" y="142875"/>
          <a:ext cx="9239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8</xdr:col>
      <xdr:colOff>0</xdr:colOff>
      <xdr:row>4</xdr:row>
      <xdr:rowOff>0</xdr:rowOff>
    </xdr:from>
    <xdr:to>
      <xdr:col>12</xdr:col>
      <xdr:colOff>0</xdr:colOff>
      <xdr:row>5</xdr:row>
      <xdr:rowOff>0</xdr:rowOff>
    </xdr:to>
    <xdr:sp>
      <xdr:nvSpPr>
        <xdr:cNvPr id="3" name="Text 6"/>
        <xdr:cNvSpPr txBox="1">
          <a:spLocks noChangeArrowheads="1"/>
        </xdr:cNvSpPr>
      </xdr:nvSpPr>
      <xdr:spPr>
        <a:xfrm>
          <a:off x="8886825" y="1047750"/>
          <a:ext cx="2438400" cy="22860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200" b="0" i="0" u="none" baseline="0">
              <a:latin typeface="Arial"/>
              <a:ea typeface="Arial"/>
              <a:cs typeface="Arial"/>
            </a:rPr>
            <a:t>= Can be modified by user.</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76200</xdr:rowOff>
    </xdr:from>
    <xdr:to>
      <xdr:col>4</xdr:col>
      <xdr:colOff>581025</xdr:colOff>
      <xdr:row>16</xdr:row>
      <xdr:rowOff>123825</xdr:rowOff>
    </xdr:to>
    <xdr:graphicFrame>
      <xdr:nvGraphicFramePr>
        <xdr:cNvPr id="1" name="Chart 3"/>
        <xdr:cNvGraphicFramePr/>
      </xdr:nvGraphicFramePr>
      <xdr:xfrm>
        <a:off x="47625" y="276225"/>
        <a:ext cx="2971800" cy="24765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16</xdr:row>
      <xdr:rowOff>123825</xdr:rowOff>
    </xdr:from>
    <xdr:to>
      <xdr:col>4</xdr:col>
      <xdr:colOff>581025</xdr:colOff>
      <xdr:row>32</xdr:row>
      <xdr:rowOff>0</xdr:rowOff>
    </xdr:to>
    <xdr:graphicFrame>
      <xdr:nvGraphicFramePr>
        <xdr:cNvPr id="2" name="Chart 4"/>
        <xdr:cNvGraphicFramePr/>
      </xdr:nvGraphicFramePr>
      <xdr:xfrm>
        <a:off x="47625" y="2752725"/>
        <a:ext cx="2971800" cy="2466975"/>
      </xdr:xfrm>
      <a:graphic>
        <a:graphicData uri="http://schemas.openxmlformats.org/drawingml/2006/chart">
          <c:chart xmlns:c="http://schemas.openxmlformats.org/drawingml/2006/chart" r:id="rId2"/>
        </a:graphicData>
      </a:graphic>
    </xdr:graphicFrame>
    <xdr:clientData/>
  </xdr:twoCellAnchor>
  <xdr:twoCellAnchor>
    <xdr:from>
      <xdr:col>4</xdr:col>
      <xdr:colOff>581025</xdr:colOff>
      <xdr:row>1</xdr:row>
      <xdr:rowOff>76200</xdr:rowOff>
    </xdr:from>
    <xdr:to>
      <xdr:col>9</xdr:col>
      <xdr:colOff>504825</xdr:colOff>
      <xdr:row>16</xdr:row>
      <xdr:rowOff>123825</xdr:rowOff>
    </xdr:to>
    <xdr:graphicFrame>
      <xdr:nvGraphicFramePr>
        <xdr:cNvPr id="3" name="Chart 5"/>
        <xdr:cNvGraphicFramePr/>
      </xdr:nvGraphicFramePr>
      <xdr:xfrm>
        <a:off x="3019425" y="276225"/>
        <a:ext cx="2971800" cy="2476500"/>
      </xdr:xfrm>
      <a:graphic>
        <a:graphicData uri="http://schemas.openxmlformats.org/drawingml/2006/chart">
          <c:chart xmlns:c="http://schemas.openxmlformats.org/drawingml/2006/chart" r:id="rId3"/>
        </a:graphicData>
      </a:graphic>
    </xdr:graphicFrame>
    <xdr:clientData/>
  </xdr:twoCellAnchor>
  <xdr:twoCellAnchor>
    <xdr:from>
      <xdr:col>4</xdr:col>
      <xdr:colOff>581025</xdr:colOff>
      <xdr:row>16</xdr:row>
      <xdr:rowOff>123825</xdr:rowOff>
    </xdr:from>
    <xdr:to>
      <xdr:col>9</xdr:col>
      <xdr:colOff>504825</xdr:colOff>
      <xdr:row>32</xdr:row>
      <xdr:rowOff>0</xdr:rowOff>
    </xdr:to>
    <xdr:graphicFrame>
      <xdr:nvGraphicFramePr>
        <xdr:cNvPr id="4" name="Chart 6"/>
        <xdr:cNvGraphicFramePr/>
      </xdr:nvGraphicFramePr>
      <xdr:xfrm>
        <a:off x="3019425" y="2752725"/>
        <a:ext cx="2971800" cy="246697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xdr:row>
      <xdr:rowOff>28575</xdr:rowOff>
    </xdr:from>
    <xdr:to>
      <xdr:col>11</xdr:col>
      <xdr:colOff>209550</xdr:colOff>
      <xdr:row>9</xdr:row>
      <xdr:rowOff>0</xdr:rowOff>
    </xdr:to>
    <xdr:sp>
      <xdr:nvSpPr>
        <xdr:cNvPr id="1" name="Rectangle 16"/>
        <xdr:cNvSpPr>
          <a:spLocks/>
        </xdr:cNvSpPr>
      </xdr:nvSpPr>
      <xdr:spPr>
        <a:xfrm>
          <a:off x="4772025" y="542925"/>
          <a:ext cx="1123950" cy="1219200"/>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11</xdr:row>
      <xdr:rowOff>85725</xdr:rowOff>
    </xdr:from>
    <xdr:to>
      <xdr:col>10</xdr:col>
      <xdr:colOff>361950</xdr:colOff>
      <xdr:row>13</xdr:row>
      <xdr:rowOff>38100</xdr:rowOff>
    </xdr:to>
    <xdr:sp>
      <xdr:nvSpPr>
        <xdr:cNvPr id="2" name="Text 17"/>
        <xdr:cNvSpPr txBox="1">
          <a:spLocks noChangeArrowheads="1"/>
        </xdr:cNvSpPr>
      </xdr:nvSpPr>
      <xdr:spPr>
        <a:xfrm>
          <a:off x="695325" y="2171700"/>
          <a:ext cx="4867275" cy="276225"/>
        </a:xfrm>
        <a:prstGeom prst="roundRect">
          <a:avLst/>
        </a:prstGeom>
        <a:solidFill>
          <a:srgbClr val="FFFFC0"/>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Default specifications are based on AASHTO Designations PP28-99 and MP2-99.</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13</xdr:col>
      <xdr:colOff>0</xdr:colOff>
      <xdr:row>2</xdr:row>
      <xdr:rowOff>123825</xdr:rowOff>
    </xdr:to>
    <xdr:sp>
      <xdr:nvSpPr>
        <xdr:cNvPr id="1" name="Text 1"/>
        <xdr:cNvSpPr txBox="1">
          <a:spLocks noChangeArrowheads="1"/>
        </xdr:cNvSpPr>
      </xdr:nvSpPr>
      <xdr:spPr>
        <a:xfrm>
          <a:off x="1828800" y="28575"/>
          <a:ext cx="8686800" cy="419100"/>
        </a:xfrm>
        <a:prstGeom prst="rect">
          <a:avLst/>
        </a:prstGeom>
        <a:solidFill>
          <a:srgbClr val="FFFFFF"/>
        </a:solidFill>
        <a:ln w="1" cmpd="sng">
          <a:solidFill>
            <a:srgbClr val="0000FF"/>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This sheet contains all of the formulas for calculating the values that will appear on the Summary Report.  
These formulas obtain many of their input parameters from other sheets. </a:t>
          </a:r>
        </a:p>
      </xdr:txBody>
    </xdr:sp>
    <xdr:clientData/>
  </xdr:twoCellAnchor>
  <xdr:twoCellAnchor>
    <xdr:from>
      <xdr:col>8</xdr:col>
      <xdr:colOff>38100</xdr:colOff>
      <xdr:row>26</xdr:row>
      <xdr:rowOff>47625</xdr:rowOff>
    </xdr:from>
    <xdr:to>
      <xdr:col>11</xdr:col>
      <xdr:colOff>514350</xdr:colOff>
      <xdr:row>32</xdr:row>
      <xdr:rowOff>104775</xdr:rowOff>
    </xdr:to>
    <xdr:sp>
      <xdr:nvSpPr>
        <xdr:cNvPr id="2" name="Text 3"/>
        <xdr:cNvSpPr txBox="1">
          <a:spLocks noChangeArrowheads="1"/>
        </xdr:cNvSpPr>
      </xdr:nvSpPr>
      <xdr:spPr>
        <a:xfrm>
          <a:off x="6934200" y="4267200"/>
          <a:ext cx="2647950" cy="1247775"/>
        </a:xfrm>
        <a:prstGeom prst="rect">
          <a:avLst/>
        </a:prstGeom>
        <a:solidFill>
          <a:srgbClr val="FFFFC0"/>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80"/>
              </a:solidFill>
              <a:latin typeface="Arial"/>
              <a:ea typeface="Arial"/>
              <a:cs typeface="Arial"/>
            </a:rPr>
            <a:t>All cells  in this area are used for creating the charts on the "Densification Report" and "Varying %AC Report" Worksheest. DO NOT MOVE OR ALTER ANY NUMBERS IN THIS SECTION.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508"/>
  <sheetViews>
    <sheetView tabSelected="1" workbookViewId="0" topLeftCell="A1">
      <pane xSplit="1" ySplit="2" topLeftCell="B3" activePane="bottomRight" state="frozen"/>
      <selection pane="topLeft" activeCell="D9" sqref="D9"/>
      <selection pane="topRight" activeCell="D9" sqref="D9"/>
      <selection pane="bottomLeft" activeCell="D9" sqref="D9"/>
      <selection pane="bottomRight" activeCell="B3" sqref="B3"/>
    </sheetView>
  </sheetViews>
  <sheetFormatPr defaultColWidth="9.140625" defaultRowHeight="12.75"/>
  <cols>
    <col min="1" max="1" width="14.140625" style="190" customWidth="1"/>
    <col min="2" max="13" width="10.140625" style="396" customWidth="1"/>
    <col min="14" max="16384" width="9.140625" style="396" customWidth="1"/>
  </cols>
  <sheetData>
    <row r="1" spans="1:13" s="88" customFormat="1" ht="18" customHeight="1">
      <c r="A1" s="629" t="s">
        <v>302</v>
      </c>
      <c r="B1" s="183" t="str">
        <f>IF(BlendID1="","Blend 1",BlendID1)</f>
        <v>Blend 1</v>
      </c>
      <c r="C1" s="184"/>
      <c r="D1" s="184"/>
      <c r="E1" s="183" t="str">
        <f>IF(BlendID2="","Blend 2",BlendID2)</f>
        <v>Blend 2</v>
      </c>
      <c r="F1" s="184"/>
      <c r="G1" s="184"/>
      <c r="H1" s="183" t="str">
        <f>IF(BlendID3="","Blend 3",BlendID3)</f>
        <v>Blend 3</v>
      </c>
      <c r="I1" s="184"/>
      <c r="J1" s="184"/>
      <c r="K1" s="183" t="str">
        <f>IF(BlendID4="","Blend 4",BlendID4)</f>
        <v>Blend 4</v>
      </c>
      <c r="L1" s="184"/>
      <c r="M1" s="185"/>
    </row>
    <row r="2" spans="1:13" s="88" customFormat="1" ht="36" customHeight="1" thickBot="1">
      <c r="A2" s="186" t="s">
        <v>0</v>
      </c>
      <c r="B2" s="538" t="s">
        <v>1</v>
      </c>
      <c r="C2" s="538" t="s">
        <v>2</v>
      </c>
      <c r="D2" s="538" t="s">
        <v>3</v>
      </c>
      <c r="E2" s="538" t="s">
        <v>1</v>
      </c>
      <c r="F2" s="538" t="s">
        <v>2</v>
      </c>
      <c r="G2" s="538" t="s">
        <v>3</v>
      </c>
      <c r="H2" s="538" t="s">
        <v>1</v>
      </c>
      <c r="I2" s="538" t="s">
        <v>2</v>
      </c>
      <c r="J2" s="538" t="s">
        <v>3</v>
      </c>
      <c r="K2" s="538" t="s">
        <v>1</v>
      </c>
      <c r="L2" s="538" t="s">
        <v>2</v>
      </c>
      <c r="M2" s="539" t="s">
        <v>3</v>
      </c>
    </row>
    <row r="3" spans="1:17" ht="12.75" customHeight="1">
      <c r="A3" s="187" t="s">
        <v>4</v>
      </c>
      <c r="B3" s="13"/>
      <c r="C3" s="13"/>
      <c r="D3" s="13"/>
      <c r="E3" s="13"/>
      <c r="F3" s="13"/>
      <c r="G3" s="13"/>
      <c r="H3" s="13"/>
      <c r="I3" s="13"/>
      <c r="J3" s="13"/>
      <c r="K3" s="13"/>
      <c r="L3" s="13"/>
      <c r="M3" s="13"/>
      <c r="Q3" s="216">
        <v>1</v>
      </c>
    </row>
    <row r="4" spans="1:17" ht="12.75" customHeight="1">
      <c r="A4" s="188">
        <v>1</v>
      </c>
      <c r="B4" s="13"/>
      <c r="C4" s="13"/>
      <c r="D4" s="13"/>
      <c r="E4" s="13"/>
      <c r="F4" s="13"/>
      <c r="G4" s="13"/>
      <c r="H4" s="13"/>
      <c r="I4" s="13"/>
      <c r="J4" s="13"/>
      <c r="K4" s="13"/>
      <c r="L4" s="13"/>
      <c r="M4" s="13"/>
      <c r="Q4" s="216">
        <v>0</v>
      </c>
    </row>
    <row r="5" spans="1:17" ht="12.75" customHeight="1">
      <c r="A5" s="188">
        <v>2</v>
      </c>
      <c r="B5" s="13"/>
      <c r="C5" s="13"/>
      <c r="D5" s="13"/>
      <c r="E5" s="13"/>
      <c r="F5" s="13"/>
      <c r="G5" s="13"/>
      <c r="H5" s="13"/>
      <c r="I5" s="13"/>
      <c r="J5" s="13"/>
      <c r="K5" s="13"/>
      <c r="L5" s="13"/>
      <c r="M5" s="13"/>
      <c r="Q5" s="216" t="b">
        <v>0</v>
      </c>
    </row>
    <row r="6" spans="1:13" ht="12.75" customHeight="1">
      <c r="A6" s="188">
        <v>3</v>
      </c>
      <c r="B6" s="13"/>
      <c r="C6" s="13"/>
      <c r="D6" s="13"/>
      <c r="E6" s="13"/>
      <c r="F6" s="13"/>
      <c r="G6" s="13"/>
      <c r="H6" s="13"/>
      <c r="I6" s="13"/>
      <c r="J6" s="13"/>
      <c r="K6" s="13"/>
      <c r="L6" s="13"/>
      <c r="M6" s="13"/>
    </row>
    <row r="7" spans="1:13" ht="12.75" customHeight="1">
      <c r="A7" s="188">
        <v>4</v>
      </c>
      <c r="B7" s="13"/>
      <c r="C7" s="13"/>
      <c r="D7" s="13"/>
      <c r="E7" s="13"/>
      <c r="F7" s="13"/>
      <c r="G7" s="13"/>
      <c r="H7" s="13"/>
      <c r="I7" s="13"/>
      <c r="J7" s="13"/>
      <c r="K7" s="13"/>
      <c r="L7" s="13"/>
      <c r="M7" s="13"/>
    </row>
    <row r="8" spans="1:13" ht="12.75" customHeight="1">
      <c r="A8" s="188">
        <v>5</v>
      </c>
      <c r="B8" s="13"/>
      <c r="C8" s="13"/>
      <c r="D8" s="13"/>
      <c r="E8" s="13"/>
      <c r="F8" s="13"/>
      <c r="G8" s="13"/>
      <c r="H8" s="13"/>
      <c r="I8" s="13"/>
      <c r="J8" s="13"/>
      <c r="K8" s="13"/>
      <c r="L8" s="13"/>
      <c r="M8" s="13"/>
    </row>
    <row r="9" spans="1:13" ht="12.75" customHeight="1">
      <c r="A9" s="188">
        <v>6</v>
      </c>
      <c r="B9" s="13"/>
      <c r="C9" s="13"/>
      <c r="D9" s="13"/>
      <c r="E9" s="13"/>
      <c r="F9" s="13"/>
      <c r="G9" s="13"/>
      <c r="H9" s="13"/>
      <c r="I9" s="13"/>
      <c r="J9" s="13"/>
      <c r="K9" s="13"/>
      <c r="L9" s="13"/>
      <c r="M9" s="13"/>
    </row>
    <row r="10" spans="1:13" ht="12.75" customHeight="1">
      <c r="A10" s="188">
        <v>7</v>
      </c>
      <c r="B10" s="13"/>
      <c r="C10" s="13"/>
      <c r="D10" s="13"/>
      <c r="E10" s="13"/>
      <c r="F10" s="13"/>
      <c r="G10" s="13"/>
      <c r="H10" s="13"/>
      <c r="I10" s="13"/>
      <c r="J10" s="13"/>
      <c r="K10" s="13"/>
      <c r="L10" s="13"/>
      <c r="M10" s="13"/>
    </row>
    <row r="11" spans="1:13" ht="12.75">
      <c r="A11" s="188">
        <v>8</v>
      </c>
      <c r="B11" s="13"/>
      <c r="C11" s="13"/>
      <c r="D11" s="13"/>
      <c r="E11" s="13"/>
      <c r="F11" s="13"/>
      <c r="G11" s="13"/>
      <c r="H11" s="13"/>
      <c r="I11" s="13"/>
      <c r="J11" s="13"/>
      <c r="K11" s="13"/>
      <c r="L11" s="13"/>
      <c r="M11" s="13"/>
    </row>
    <row r="12" spans="1:13" ht="12.75" customHeight="1">
      <c r="A12" s="188">
        <v>9</v>
      </c>
      <c r="B12" s="13"/>
      <c r="C12" s="13"/>
      <c r="D12" s="13"/>
      <c r="E12" s="13"/>
      <c r="F12" s="13"/>
      <c r="G12" s="13"/>
      <c r="H12" s="13"/>
      <c r="I12" s="13"/>
      <c r="J12" s="13"/>
      <c r="K12" s="13"/>
      <c r="L12" s="13"/>
      <c r="M12" s="13"/>
    </row>
    <row r="13" spans="1:13" ht="12.75" customHeight="1">
      <c r="A13" s="188">
        <v>10</v>
      </c>
      <c r="B13" s="13"/>
      <c r="C13" s="13"/>
      <c r="D13" s="13"/>
      <c r="E13" s="13"/>
      <c r="F13" s="13"/>
      <c r="G13" s="13"/>
      <c r="H13" s="13"/>
      <c r="I13" s="13"/>
      <c r="J13" s="13"/>
      <c r="K13" s="13"/>
      <c r="L13" s="13"/>
      <c r="M13" s="13"/>
    </row>
    <row r="14" spans="1:13" ht="12.75" customHeight="1">
      <c r="A14" s="188">
        <v>11</v>
      </c>
      <c r="B14" s="13"/>
      <c r="C14" s="13"/>
      <c r="D14" s="13"/>
      <c r="E14" s="13"/>
      <c r="F14" s="13"/>
      <c r="G14" s="13"/>
      <c r="H14" s="13"/>
      <c r="I14" s="13"/>
      <c r="J14" s="13"/>
      <c r="K14" s="13"/>
      <c r="L14" s="13"/>
      <c r="M14" s="13"/>
    </row>
    <row r="15" spans="1:13" ht="12.75" customHeight="1">
      <c r="A15" s="188">
        <v>12</v>
      </c>
      <c r="B15" s="13"/>
      <c r="C15" s="13"/>
      <c r="D15" s="13"/>
      <c r="E15" s="13"/>
      <c r="F15" s="13"/>
      <c r="G15" s="13"/>
      <c r="H15" s="13"/>
      <c r="I15" s="13"/>
      <c r="J15" s="13"/>
      <c r="K15" s="13"/>
      <c r="L15" s="13"/>
      <c r="M15" s="13"/>
    </row>
    <row r="16" spans="1:13" ht="12.75" customHeight="1">
      <c r="A16" s="188">
        <v>13</v>
      </c>
      <c r="B16" s="13"/>
      <c r="C16" s="13"/>
      <c r="D16" s="13"/>
      <c r="E16" s="13"/>
      <c r="F16" s="13"/>
      <c r="G16" s="13"/>
      <c r="H16" s="13"/>
      <c r="I16" s="13"/>
      <c r="J16" s="13"/>
      <c r="K16" s="13"/>
      <c r="L16" s="13"/>
      <c r="M16" s="13"/>
    </row>
    <row r="17" spans="1:13" ht="12.75" customHeight="1">
      <c r="A17" s="188">
        <v>14</v>
      </c>
      <c r="B17" s="13"/>
      <c r="C17" s="13"/>
      <c r="D17" s="13"/>
      <c r="E17" s="13"/>
      <c r="F17" s="13"/>
      <c r="G17" s="13"/>
      <c r="H17" s="13"/>
      <c r="I17" s="13"/>
      <c r="J17" s="13"/>
      <c r="K17" s="13"/>
      <c r="L17" s="13"/>
      <c r="M17" s="13"/>
    </row>
    <row r="18" spans="1:13" ht="12.75" customHeight="1">
      <c r="A18" s="188">
        <v>15</v>
      </c>
      <c r="B18" s="13"/>
      <c r="C18" s="13"/>
      <c r="D18" s="13"/>
      <c r="E18" s="13"/>
      <c r="F18" s="13"/>
      <c r="G18" s="13"/>
      <c r="H18" s="13"/>
      <c r="I18" s="13"/>
      <c r="J18" s="13"/>
      <c r="K18" s="13"/>
      <c r="L18" s="13"/>
      <c r="M18" s="13"/>
    </row>
    <row r="19" spans="1:13" ht="12.75" customHeight="1">
      <c r="A19" s="188">
        <v>16</v>
      </c>
      <c r="B19" s="13"/>
      <c r="C19" s="13"/>
      <c r="D19" s="13"/>
      <c r="E19" s="13"/>
      <c r="F19" s="13"/>
      <c r="G19" s="13"/>
      <c r="H19" s="13"/>
      <c r="I19" s="13"/>
      <c r="J19" s="13"/>
      <c r="K19" s="13"/>
      <c r="L19" s="13"/>
      <c r="M19" s="13"/>
    </row>
    <row r="20" spans="1:13" ht="12.75" customHeight="1">
      <c r="A20" s="188">
        <v>17</v>
      </c>
      <c r="B20" s="13"/>
      <c r="C20" s="13"/>
      <c r="D20" s="13"/>
      <c r="E20" s="13"/>
      <c r="F20" s="13"/>
      <c r="G20" s="13"/>
      <c r="H20" s="13"/>
      <c r="I20" s="13"/>
      <c r="J20" s="13"/>
      <c r="K20" s="13"/>
      <c r="L20" s="13"/>
      <c r="M20" s="13"/>
    </row>
    <row r="21" spans="1:13" ht="12.75" customHeight="1">
      <c r="A21" s="188">
        <v>18</v>
      </c>
      <c r="B21" s="13"/>
      <c r="C21" s="13"/>
      <c r="D21" s="13"/>
      <c r="E21" s="13"/>
      <c r="F21" s="13"/>
      <c r="G21" s="13"/>
      <c r="H21" s="13"/>
      <c r="I21" s="13"/>
      <c r="J21" s="13"/>
      <c r="K21" s="13"/>
      <c r="L21" s="13"/>
      <c r="M21" s="13"/>
    </row>
    <row r="22" spans="1:13" ht="12.75" customHeight="1">
      <c r="A22" s="188">
        <v>19</v>
      </c>
      <c r="B22" s="13"/>
      <c r="C22" s="13"/>
      <c r="D22" s="13"/>
      <c r="E22" s="13"/>
      <c r="F22" s="13"/>
      <c r="G22" s="13"/>
      <c r="H22" s="13"/>
      <c r="I22" s="13"/>
      <c r="J22" s="13"/>
      <c r="K22" s="13"/>
      <c r="L22" s="13"/>
      <c r="M22" s="13"/>
    </row>
    <row r="23" spans="1:13" ht="12.75" customHeight="1">
      <c r="A23" s="188">
        <v>20</v>
      </c>
      <c r="B23" s="13"/>
      <c r="C23" s="13"/>
      <c r="D23" s="13"/>
      <c r="E23" s="13"/>
      <c r="F23" s="13"/>
      <c r="G23" s="13"/>
      <c r="H23" s="13"/>
      <c r="I23" s="13"/>
      <c r="J23" s="13"/>
      <c r="K23" s="13"/>
      <c r="L23" s="13"/>
      <c r="M23" s="13"/>
    </row>
    <row r="24" spans="1:13" ht="12.75" customHeight="1">
      <c r="A24" s="188">
        <v>21</v>
      </c>
      <c r="B24" s="13"/>
      <c r="C24" s="13"/>
      <c r="D24" s="13"/>
      <c r="E24" s="13"/>
      <c r="F24" s="13"/>
      <c r="G24" s="13"/>
      <c r="H24" s="13"/>
      <c r="I24" s="13"/>
      <c r="J24" s="13"/>
      <c r="K24" s="13"/>
      <c r="L24" s="13"/>
      <c r="M24" s="13"/>
    </row>
    <row r="25" spans="1:13" ht="12.75" customHeight="1">
      <c r="A25" s="188">
        <v>22</v>
      </c>
      <c r="B25" s="13"/>
      <c r="C25" s="13"/>
      <c r="D25" s="13"/>
      <c r="E25" s="13"/>
      <c r="F25" s="13"/>
      <c r="G25" s="13"/>
      <c r="H25" s="13"/>
      <c r="I25" s="13"/>
      <c r="J25" s="13"/>
      <c r="K25" s="13"/>
      <c r="L25" s="13"/>
      <c r="M25" s="13"/>
    </row>
    <row r="26" spans="1:13" ht="12.75" customHeight="1">
      <c r="A26" s="188">
        <v>23</v>
      </c>
      <c r="B26" s="13"/>
      <c r="C26" s="13"/>
      <c r="D26" s="13"/>
      <c r="E26" s="13"/>
      <c r="F26" s="13"/>
      <c r="G26" s="13"/>
      <c r="H26" s="13"/>
      <c r="I26" s="13"/>
      <c r="J26" s="13"/>
      <c r="K26" s="13"/>
      <c r="L26" s="13"/>
      <c r="M26" s="13"/>
    </row>
    <row r="27" spans="1:13" ht="12.75" customHeight="1">
      <c r="A27" s="188">
        <v>24</v>
      </c>
      <c r="B27" s="13"/>
      <c r="C27" s="13"/>
      <c r="D27" s="13"/>
      <c r="E27" s="13"/>
      <c r="F27" s="13"/>
      <c r="G27" s="13"/>
      <c r="H27" s="13"/>
      <c r="I27" s="13"/>
      <c r="J27" s="13"/>
      <c r="K27" s="13"/>
      <c r="L27" s="13"/>
      <c r="M27" s="13"/>
    </row>
    <row r="28" spans="1:13" ht="12.75" customHeight="1">
      <c r="A28" s="188">
        <v>25</v>
      </c>
      <c r="B28" s="13"/>
      <c r="C28" s="13"/>
      <c r="D28" s="13"/>
      <c r="E28" s="13"/>
      <c r="F28" s="13"/>
      <c r="G28" s="13"/>
      <c r="H28" s="13"/>
      <c r="I28" s="13"/>
      <c r="J28" s="13"/>
      <c r="K28" s="13"/>
      <c r="L28" s="13"/>
      <c r="M28" s="13"/>
    </row>
    <row r="29" spans="1:13" ht="12.75" customHeight="1">
      <c r="A29" s="188">
        <v>26</v>
      </c>
      <c r="B29" s="13"/>
      <c r="C29" s="13"/>
      <c r="D29" s="13"/>
      <c r="E29" s="13"/>
      <c r="F29" s="13"/>
      <c r="G29" s="13"/>
      <c r="H29" s="13"/>
      <c r="I29" s="13"/>
      <c r="J29" s="13"/>
      <c r="K29" s="13"/>
      <c r="L29" s="13"/>
      <c r="M29" s="13"/>
    </row>
    <row r="30" spans="1:13" ht="12.75" customHeight="1">
      <c r="A30" s="188">
        <v>27</v>
      </c>
      <c r="B30" s="13"/>
      <c r="C30" s="13"/>
      <c r="D30" s="13"/>
      <c r="E30" s="13"/>
      <c r="F30" s="13"/>
      <c r="G30" s="13"/>
      <c r="H30" s="13"/>
      <c r="I30" s="13"/>
      <c r="J30" s="13"/>
      <c r="K30" s="13"/>
      <c r="L30" s="13"/>
      <c r="M30" s="13"/>
    </row>
    <row r="31" spans="1:13" ht="12.75" customHeight="1">
      <c r="A31" s="188">
        <v>28</v>
      </c>
      <c r="B31" s="13"/>
      <c r="C31" s="13"/>
      <c r="D31" s="13"/>
      <c r="E31" s="13"/>
      <c r="F31" s="13"/>
      <c r="G31" s="13"/>
      <c r="H31" s="13"/>
      <c r="I31" s="13"/>
      <c r="J31" s="13"/>
      <c r="K31" s="13"/>
      <c r="L31" s="13"/>
      <c r="M31" s="13"/>
    </row>
    <row r="32" spans="1:13" ht="12.75" customHeight="1">
      <c r="A32" s="188">
        <v>29</v>
      </c>
      <c r="B32" s="13"/>
      <c r="C32" s="13"/>
      <c r="D32" s="13"/>
      <c r="E32" s="13"/>
      <c r="F32" s="13"/>
      <c r="G32" s="13"/>
      <c r="H32" s="13"/>
      <c r="I32" s="13"/>
      <c r="J32" s="13"/>
      <c r="K32" s="13"/>
      <c r="L32" s="13"/>
      <c r="M32" s="13"/>
    </row>
    <row r="33" spans="1:13" ht="12.75" customHeight="1">
      <c r="A33" s="188">
        <v>30</v>
      </c>
      <c r="B33" s="13"/>
      <c r="C33" s="13"/>
      <c r="D33" s="13"/>
      <c r="E33" s="13"/>
      <c r="F33" s="13"/>
      <c r="G33" s="13"/>
      <c r="H33" s="13"/>
      <c r="I33" s="13"/>
      <c r="J33" s="13"/>
      <c r="K33" s="13"/>
      <c r="L33" s="13"/>
      <c r="M33" s="13"/>
    </row>
    <row r="34" spans="1:13" ht="12.75" customHeight="1">
      <c r="A34" s="188">
        <v>31</v>
      </c>
      <c r="B34" s="13"/>
      <c r="C34" s="13"/>
      <c r="D34" s="13"/>
      <c r="E34" s="13"/>
      <c r="F34" s="13"/>
      <c r="G34" s="13"/>
      <c r="H34" s="13"/>
      <c r="I34" s="13"/>
      <c r="J34" s="13"/>
      <c r="K34" s="13"/>
      <c r="L34" s="13"/>
      <c r="M34" s="13"/>
    </row>
    <row r="35" spans="1:13" ht="12.75" customHeight="1">
      <c r="A35" s="188">
        <v>32</v>
      </c>
      <c r="B35" s="13"/>
      <c r="C35" s="13"/>
      <c r="D35" s="13"/>
      <c r="E35" s="13"/>
      <c r="F35" s="13"/>
      <c r="G35" s="13"/>
      <c r="H35" s="13"/>
      <c r="I35" s="13"/>
      <c r="J35" s="13"/>
      <c r="K35" s="13"/>
      <c r="L35" s="13"/>
      <c r="M35" s="13"/>
    </row>
    <row r="36" spans="1:13" ht="12.75" customHeight="1">
      <c r="A36" s="188">
        <v>33</v>
      </c>
      <c r="B36" s="13"/>
      <c r="C36" s="13"/>
      <c r="D36" s="13"/>
      <c r="E36" s="13"/>
      <c r="F36" s="13"/>
      <c r="G36" s="13"/>
      <c r="H36" s="13"/>
      <c r="I36" s="13"/>
      <c r="J36" s="13"/>
      <c r="K36" s="13"/>
      <c r="L36" s="13"/>
      <c r="M36" s="13"/>
    </row>
    <row r="37" spans="1:13" ht="12.75" customHeight="1">
      <c r="A37" s="188">
        <v>34</v>
      </c>
      <c r="B37" s="13"/>
      <c r="C37" s="13"/>
      <c r="D37" s="13"/>
      <c r="E37" s="13"/>
      <c r="F37" s="13"/>
      <c r="G37" s="13"/>
      <c r="H37" s="13"/>
      <c r="I37" s="13"/>
      <c r="J37" s="13"/>
      <c r="K37" s="13"/>
      <c r="L37" s="13"/>
      <c r="M37" s="13"/>
    </row>
    <row r="38" spans="1:13" ht="12.75" customHeight="1">
      <c r="A38" s="188">
        <v>35</v>
      </c>
      <c r="B38" s="13"/>
      <c r="C38" s="13"/>
      <c r="D38" s="13"/>
      <c r="E38" s="13"/>
      <c r="F38" s="13"/>
      <c r="G38" s="13"/>
      <c r="H38" s="13"/>
      <c r="I38" s="13"/>
      <c r="J38" s="13"/>
      <c r="K38" s="13"/>
      <c r="L38" s="13"/>
      <c r="M38" s="13"/>
    </row>
    <row r="39" spans="1:13" ht="12.75" customHeight="1">
      <c r="A39" s="188">
        <v>36</v>
      </c>
      <c r="B39" s="13"/>
      <c r="C39" s="13"/>
      <c r="D39" s="13"/>
      <c r="E39" s="13"/>
      <c r="F39" s="13"/>
      <c r="G39" s="13"/>
      <c r="H39" s="13"/>
      <c r="I39" s="13"/>
      <c r="J39" s="13"/>
      <c r="K39" s="13"/>
      <c r="L39" s="13"/>
      <c r="M39" s="13"/>
    </row>
    <row r="40" spans="1:13" ht="12.75" customHeight="1">
      <c r="A40" s="188">
        <v>37</v>
      </c>
      <c r="B40" s="13"/>
      <c r="C40" s="13"/>
      <c r="D40" s="13"/>
      <c r="E40" s="13"/>
      <c r="F40" s="13"/>
      <c r="G40" s="13"/>
      <c r="H40" s="13"/>
      <c r="I40" s="13"/>
      <c r="J40" s="13"/>
      <c r="K40" s="13"/>
      <c r="L40" s="13"/>
      <c r="M40" s="13"/>
    </row>
    <row r="41" spans="1:13" ht="12.75" customHeight="1">
      <c r="A41" s="188">
        <v>38</v>
      </c>
      <c r="B41" s="13"/>
      <c r="C41" s="13"/>
      <c r="D41" s="13"/>
      <c r="E41" s="13"/>
      <c r="F41" s="13"/>
      <c r="G41" s="13"/>
      <c r="H41" s="13"/>
      <c r="I41" s="13"/>
      <c r="J41" s="13"/>
      <c r="K41" s="13"/>
      <c r="L41" s="13"/>
      <c r="M41" s="13"/>
    </row>
    <row r="42" spans="1:13" ht="12.75" customHeight="1">
      <c r="A42" s="188">
        <v>39</v>
      </c>
      <c r="B42" s="13"/>
      <c r="C42" s="13"/>
      <c r="D42" s="13"/>
      <c r="E42" s="13"/>
      <c r="F42" s="13"/>
      <c r="G42" s="13"/>
      <c r="H42" s="13"/>
      <c r="I42" s="13"/>
      <c r="J42" s="13"/>
      <c r="K42" s="13"/>
      <c r="L42" s="13"/>
      <c r="M42" s="13"/>
    </row>
    <row r="43" spans="1:13" ht="12.75" customHeight="1">
      <c r="A43" s="188">
        <v>40</v>
      </c>
      <c r="B43" s="13"/>
      <c r="C43" s="13"/>
      <c r="D43" s="13"/>
      <c r="E43" s="13"/>
      <c r="F43" s="13"/>
      <c r="G43" s="13"/>
      <c r="H43" s="13"/>
      <c r="I43" s="13"/>
      <c r="J43" s="13"/>
      <c r="K43" s="13"/>
      <c r="L43" s="13"/>
      <c r="M43" s="13"/>
    </row>
    <row r="44" spans="1:13" ht="12.75" customHeight="1">
      <c r="A44" s="188">
        <v>41</v>
      </c>
      <c r="B44" s="13"/>
      <c r="C44" s="13"/>
      <c r="D44" s="13"/>
      <c r="E44" s="13"/>
      <c r="F44" s="13"/>
      <c r="G44" s="13"/>
      <c r="H44" s="13"/>
      <c r="I44" s="13"/>
      <c r="J44" s="13"/>
      <c r="K44" s="13"/>
      <c r="L44" s="13"/>
      <c r="M44" s="13"/>
    </row>
    <row r="45" spans="1:13" ht="12.75" customHeight="1">
      <c r="A45" s="188">
        <v>42</v>
      </c>
      <c r="B45" s="13"/>
      <c r="C45" s="13"/>
      <c r="D45" s="13"/>
      <c r="E45" s="13"/>
      <c r="F45" s="13"/>
      <c r="G45" s="13"/>
      <c r="H45" s="13"/>
      <c r="I45" s="13"/>
      <c r="J45" s="13"/>
      <c r="K45" s="13"/>
      <c r="L45" s="13"/>
      <c r="M45" s="13"/>
    </row>
    <row r="46" spans="1:13" ht="12.75" customHeight="1">
      <c r="A46" s="188">
        <v>43</v>
      </c>
      <c r="B46" s="13"/>
      <c r="C46" s="13"/>
      <c r="D46" s="13"/>
      <c r="E46" s="13"/>
      <c r="F46" s="13"/>
      <c r="G46" s="13"/>
      <c r="H46" s="13"/>
      <c r="I46" s="13"/>
      <c r="J46" s="13"/>
      <c r="K46" s="13"/>
      <c r="L46" s="13"/>
      <c r="M46" s="13"/>
    </row>
    <row r="47" spans="1:13" ht="12.75" customHeight="1">
      <c r="A47" s="188">
        <v>44</v>
      </c>
      <c r="B47" s="13"/>
      <c r="C47" s="13"/>
      <c r="D47" s="13"/>
      <c r="E47" s="13"/>
      <c r="F47" s="13"/>
      <c r="G47" s="13"/>
      <c r="H47" s="13"/>
      <c r="I47" s="13"/>
      <c r="J47" s="13"/>
      <c r="K47" s="13"/>
      <c r="L47" s="13"/>
      <c r="M47" s="13"/>
    </row>
    <row r="48" spans="1:13" ht="12.75" customHeight="1">
      <c r="A48" s="188">
        <v>45</v>
      </c>
      <c r="B48" s="13"/>
      <c r="C48" s="13"/>
      <c r="D48" s="13"/>
      <c r="E48" s="13"/>
      <c r="F48" s="13"/>
      <c r="G48" s="13"/>
      <c r="H48" s="13"/>
      <c r="I48" s="13"/>
      <c r="J48" s="13"/>
      <c r="K48" s="13"/>
      <c r="L48" s="13"/>
      <c r="M48" s="13"/>
    </row>
    <row r="49" spans="1:13" ht="12.75" customHeight="1">
      <c r="A49" s="188">
        <v>46</v>
      </c>
      <c r="B49" s="13"/>
      <c r="C49" s="13"/>
      <c r="D49" s="13"/>
      <c r="E49" s="13"/>
      <c r="F49" s="13"/>
      <c r="G49" s="13"/>
      <c r="H49" s="13"/>
      <c r="I49" s="13"/>
      <c r="J49" s="13"/>
      <c r="K49" s="13"/>
      <c r="L49" s="13"/>
      <c r="M49" s="13"/>
    </row>
    <row r="50" spans="1:13" ht="12.75" customHeight="1">
      <c r="A50" s="188">
        <v>47</v>
      </c>
      <c r="B50" s="13"/>
      <c r="C50" s="13"/>
      <c r="D50" s="13"/>
      <c r="E50" s="13"/>
      <c r="F50" s="13"/>
      <c r="G50" s="13"/>
      <c r="H50" s="13"/>
      <c r="I50" s="13"/>
      <c r="J50" s="13"/>
      <c r="K50" s="13"/>
      <c r="L50" s="13"/>
      <c r="M50" s="13"/>
    </row>
    <row r="51" spans="1:13" ht="12.75" customHeight="1">
      <c r="A51" s="188">
        <v>48</v>
      </c>
      <c r="B51" s="13"/>
      <c r="C51" s="13"/>
      <c r="D51" s="13"/>
      <c r="E51" s="13"/>
      <c r="F51" s="13"/>
      <c r="G51" s="13"/>
      <c r="H51" s="13"/>
      <c r="I51" s="13"/>
      <c r="J51" s="13"/>
      <c r="K51" s="13"/>
      <c r="L51" s="13"/>
      <c r="M51" s="13"/>
    </row>
    <row r="52" spans="1:13" ht="12.75" customHeight="1">
      <c r="A52" s="188">
        <v>49</v>
      </c>
      <c r="B52" s="13"/>
      <c r="C52" s="13"/>
      <c r="D52" s="13"/>
      <c r="E52" s="13"/>
      <c r="F52" s="13"/>
      <c r="G52" s="13"/>
      <c r="H52" s="13"/>
      <c r="I52" s="13"/>
      <c r="J52" s="13"/>
      <c r="K52" s="13"/>
      <c r="L52" s="13"/>
      <c r="M52" s="13"/>
    </row>
    <row r="53" spans="1:13" ht="12.75" customHeight="1">
      <c r="A53" s="188">
        <v>50</v>
      </c>
      <c r="B53" s="13"/>
      <c r="C53" s="13"/>
      <c r="D53" s="13"/>
      <c r="E53" s="13"/>
      <c r="F53" s="13"/>
      <c r="G53" s="13"/>
      <c r="H53" s="13"/>
      <c r="I53" s="13"/>
      <c r="J53" s="13"/>
      <c r="K53" s="13"/>
      <c r="L53" s="13"/>
      <c r="M53" s="13"/>
    </row>
    <row r="54" spans="1:13" ht="12.75" customHeight="1">
      <c r="A54" s="188">
        <v>51</v>
      </c>
      <c r="B54" s="13"/>
      <c r="C54" s="13"/>
      <c r="D54" s="13"/>
      <c r="E54" s="13"/>
      <c r="F54" s="13"/>
      <c r="G54" s="13"/>
      <c r="H54" s="13"/>
      <c r="I54" s="13"/>
      <c r="J54" s="13"/>
      <c r="K54" s="13"/>
      <c r="L54" s="13"/>
      <c r="M54" s="13"/>
    </row>
    <row r="55" spans="1:13" ht="12.75" customHeight="1">
      <c r="A55" s="188">
        <v>52</v>
      </c>
      <c r="B55" s="13"/>
      <c r="C55" s="13"/>
      <c r="D55" s="13"/>
      <c r="E55" s="13"/>
      <c r="F55" s="13"/>
      <c r="G55" s="13"/>
      <c r="H55" s="13"/>
      <c r="I55" s="13"/>
      <c r="J55" s="13"/>
      <c r="K55" s="13"/>
      <c r="L55" s="13"/>
      <c r="M55" s="13"/>
    </row>
    <row r="56" spans="1:13" ht="12.75" customHeight="1">
      <c r="A56" s="188">
        <v>53</v>
      </c>
      <c r="B56" s="13"/>
      <c r="C56" s="13"/>
      <c r="D56" s="13"/>
      <c r="E56" s="13"/>
      <c r="F56" s="13"/>
      <c r="G56" s="13"/>
      <c r="H56" s="13"/>
      <c r="I56" s="13"/>
      <c r="J56" s="13"/>
      <c r="K56" s="13"/>
      <c r="L56" s="13"/>
      <c r="M56" s="13"/>
    </row>
    <row r="57" spans="1:13" ht="12.75" customHeight="1">
      <c r="A57" s="188">
        <v>54</v>
      </c>
      <c r="B57" s="13"/>
      <c r="C57" s="13"/>
      <c r="D57" s="13"/>
      <c r="E57" s="13"/>
      <c r="F57" s="13"/>
      <c r="G57" s="13"/>
      <c r="H57" s="13"/>
      <c r="I57" s="13"/>
      <c r="J57" s="13"/>
      <c r="K57" s="13"/>
      <c r="L57" s="13"/>
      <c r="M57" s="13"/>
    </row>
    <row r="58" spans="1:13" ht="12.75" customHeight="1">
      <c r="A58" s="188">
        <v>55</v>
      </c>
      <c r="B58" s="13"/>
      <c r="C58" s="13"/>
      <c r="D58" s="13"/>
      <c r="E58" s="13"/>
      <c r="F58" s="13"/>
      <c r="G58" s="13"/>
      <c r="H58" s="13"/>
      <c r="I58" s="13"/>
      <c r="J58" s="13"/>
      <c r="K58" s="13"/>
      <c r="L58" s="13"/>
      <c r="M58" s="13"/>
    </row>
    <row r="59" spans="1:13" ht="12.75" customHeight="1">
      <c r="A59" s="188">
        <v>56</v>
      </c>
      <c r="B59" s="13"/>
      <c r="C59" s="13"/>
      <c r="D59" s="13"/>
      <c r="E59" s="13"/>
      <c r="F59" s="13"/>
      <c r="G59" s="13"/>
      <c r="H59" s="13"/>
      <c r="I59" s="13"/>
      <c r="J59" s="13"/>
      <c r="K59" s="13"/>
      <c r="L59" s="13"/>
      <c r="M59" s="13"/>
    </row>
    <row r="60" spans="1:13" ht="12.75" customHeight="1">
      <c r="A60" s="188">
        <v>57</v>
      </c>
      <c r="B60" s="13"/>
      <c r="C60" s="13"/>
      <c r="D60" s="13"/>
      <c r="E60" s="13"/>
      <c r="F60" s="13"/>
      <c r="G60" s="13"/>
      <c r="H60" s="13"/>
      <c r="I60" s="13"/>
      <c r="J60" s="13"/>
      <c r="K60" s="13"/>
      <c r="L60" s="13"/>
      <c r="M60" s="13"/>
    </row>
    <row r="61" spans="1:13" ht="12.75" customHeight="1">
      <c r="A61" s="188">
        <v>58</v>
      </c>
      <c r="B61" s="13"/>
      <c r="C61" s="13"/>
      <c r="D61" s="13"/>
      <c r="E61" s="13"/>
      <c r="F61" s="13"/>
      <c r="G61" s="13"/>
      <c r="H61" s="13"/>
      <c r="I61" s="13"/>
      <c r="J61" s="13"/>
      <c r="K61" s="13"/>
      <c r="L61" s="13"/>
      <c r="M61" s="13"/>
    </row>
    <row r="62" spans="1:13" ht="12.75" customHeight="1">
      <c r="A62" s="188">
        <v>59</v>
      </c>
      <c r="B62" s="13"/>
      <c r="C62" s="13"/>
      <c r="D62" s="13"/>
      <c r="E62" s="13"/>
      <c r="F62" s="13"/>
      <c r="G62" s="13"/>
      <c r="H62" s="13"/>
      <c r="I62" s="13"/>
      <c r="J62" s="13"/>
      <c r="K62" s="13"/>
      <c r="L62" s="13"/>
      <c r="M62" s="13"/>
    </row>
    <row r="63" spans="1:13" ht="12.75" customHeight="1">
      <c r="A63" s="188">
        <v>60</v>
      </c>
      <c r="B63" s="13"/>
      <c r="C63" s="13"/>
      <c r="D63" s="13"/>
      <c r="E63" s="13"/>
      <c r="F63" s="13"/>
      <c r="G63" s="13"/>
      <c r="H63" s="13"/>
      <c r="I63" s="13"/>
      <c r="J63" s="13"/>
      <c r="K63" s="13"/>
      <c r="L63" s="13"/>
      <c r="M63" s="13"/>
    </row>
    <row r="64" spans="1:13" ht="12.75" customHeight="1">
      <c r="A64" s="188">
        <v>61</v>
      </c>
      <c r="B64" s="13"/>
      <c r="C64" s="13"/>
      <c r="D64" s="13"/>
      <c r="E64" s="13"/>
      <c r="F64" s="13"/>
      <c r="G64" s="13"/>
      <c r="H64" s="13"/>
      <c r="I64" s="13"/>
      <c r="J64" s="13"/>
      <c r="K64" s="13"/>
      <c r="L64" s="13"/>
      <c r="M64" s="13"/>
    </row>
    <row r="65" spans="1:13" ht="12.75" customHeight="1">
      <c r="A65" s="188">
        <v>62</v>
      </c>
      <c r="B65" s="13"/>
      <c r="C65" s="13"/>
      <c r="D65" s="13"/>
      <c r="E65" s="13"/>
      <c r="F65" s="13"/>
      <c r="G65" s="13"/>
      <c r="H65" s="13"/>
      <c r="I65" s="13"/>
      <c r="J65" s="13"/>
      <c r="K65" s="13"/>
      <c r="L65" s="13"/>
      <c r="M65" s="13"/>
    </row>
    <row r="66" spans="1:13" ht="12.75" customHeight="1">
      <c r="A66" s="188">
        <v>63</v>
      </c>
      <c r="B66" s="13"/>
      <c r="C66" s="13"/>
      <c r="D66" s="13"/>
      <c r="E66" s="13"/>
      <c r="F66" s="13"/>
      <c r="G66" s="13"/>
      <c r="H66" s="13"/>
      <c r="I66" s="13"/>
      <c r="J66" s="13"/>
      <c r="K66" s="13"/>
      <c r="L66" s="13"/>
      <c r="M66" s="13"/>
    </row>
    <row r="67" spans="1:13" ht="12.75" customHeight="1">
      <c r="A67" s="188">
        <v>64</v>
      </c>
      <c r="B67" s="13"/>
      <c r="C67" s="13"/>
      <c r="D67" s="13"/>
      <c r="E67" s="13"/>
      <c r="F67" s="13"/>
      <c r="G67" s="13"/>
      <c r="H67" s="13"/>
      <c r="I67" s="13"/>
      <c r="J67" s="13"/>
      <c r="K67" s="13"/>
      <c r="L67" s="13"/>
      <c r="M67" s="13"/>
    </row>
    <row r="68" spans="1:13" ht="12.75" customHeight="1">
      <c r="A68" s="188">
        <v>65</v>
      </c>
      <c r="B68" s="13"/>
      <c r="C68" s="13"/>
      <c r="D68" s="13"/>
      <c r="E68" s="13"/>
      <c r="F68" s="13"/>
      <c r="G68" s="13"/>
      <c r="H68" s="13"/>
      <c r="I68" s="13"/>
      <c r="J68" s="13"/>
      <c r="K68" s="13"/>
      <c r="L68" s="13"/>
      <c r="M68" s="13"/>
    </row>
    <row r="69" spans="1:13" ht="12.75" customHeight="1">
      <c r="A69" s="188">
        <v>66</v>
      </c>
      <c r="B69" s="13"/>
      <c r="C69" s="13"/>
      <c r="D69" s="13"/>
      <c r="E69" s="13"/>
      <c r="F69" s="13"/>
      <c r="G69" s="13"/>
      <c r="H69" s="13"/>
      <c r="I69" s="13"/>
      <c r="J69" s="13"/>
      <c r="K69" s="13"/>
      <c r="L69" s="13"/>
      <c r="M69" s="13"/>
    </row>
    <row r="70" spans="1:13" ht="12.75" customHeight="1">
      <c r="A70" s="188">
        <v>67</v>
      </c>
      <c r="B70" s="13"/>
      <c r="C70" s="13"/>
      <c r="D70" s="13"/>
      <c r="E70" s="13"/>
      <c r="F70" s="13"/>
      <c r="G70" s="13"/>
      <c r="H70" s="13"/>
      <c r="I70" s="13"/>
      <c r="J70" s="13"/>
      <c r="K70" s="13"/>
      <c r="L70" s="13"/>
      <c r="M70" s="13"/>
    </row>
    <row r="71" spans="1:13" ht="12.75" customHeight="1">
      <c r="A71" s="188">
        <v>68</v>
      </c>
      <c r="B71" s="13"/>
      <c r="C71" s="13"/>
      <c r="D71" s="13"/>
      <c r="E71" s="13"/>
      <c r="F71" s="13"/>
      <c r="G71" s="13"/>
      <c r="H71" s="13"/>
      <c r="I71" s="13"/>
      <c r="J71" s="13"/>
      <c r="K71" s="13"/>
      <c r="L71" s="13"/>
      <c r="M71" s="13"/>
    </row>
    <row r="72" spans="1:13" ht="12.75" customHeight="1">
      <c r="A72" s="188">
        <v>69</v>
      </c>
      <c r="B72" s="13"/>
      <c r="C72" s="13"/>
      <c r="D72" s="13"/>
      <c r="E72" s="13"/>
      <c r="F72" s="13"/>
      <c r="G72" s="13"/>
      <c r="H72" s="13"/>
      <c r="I72" s="13"/>
      <c r="J72" s="13"/>
      <c r="K72" s="13"/>
      <c r="L72" s="13"/>
      <c r="M72" s="13"/>
    </row>
    <row r="73" spans="1:13" ht="12.75" customHeight="1">
      <c r="A73" s="188">
        <v>70</v>
      </c>
      <c r="B73" s="13"/>
      <c r="C73" s="13"/>
      <c r="D73" s="13"/>
      <c r="E73" s="13"/>
      <c r="F73" s="13"/>
      <c r="G73" s="13"/>
      <c r="H73" s="13"/>
      <c r="I73" s="13"/>
      <c r="J73" s="13"/>
      <c r="K73" s="13"/>
      <c r="L73" s="13"/>
      <c r="M73" s="13"/>
    </row>
    <row r="74" spans="1:13" ht="12.75" customHeight="1">
      <c r="A74" s="188">
        <v>71</v>
      </c>
      <c r="B74" s="13"/>
      <c r="C74" s="13"/>
      <c r="D74" s="13"/>
      <c r="E74" s="13"/>
      <c r="F74" s="13"/>
      <c r="G74" s="13"/>
      <c r="H74" s="13"/>
      <c r="I74" s="13"/>
      <c r="J74" s="13"/>
      <c r="K74" s="13"/>
      <c r="L74" s="13"/>
      <c r="M74" s="13"/>
    </row>
    <row r="75" spans="1:13" ht="12.75" customHeight="1">
      <c r="A75" s="188">
        <v>72</v>
      </c>
      <c r="B75" s="13"/>
      <c r="C75" s="13"/>
      <c r="D75" s="13"/>
      <c r="E75" s="13"/>
      <c r="F75" s="13"/>
      <c r="G75" s="13"/>
      <c r="H75" s="13"/>
      <c r="I75" s="13"/>
      <c r="J75" s="13"/>
      <c r="K75" s="13"/>
      <c r="L75" s="13"/>
      <c r="M75" s="13"/>
    </row>
    <row r="76" spans="1:13" ht="12.75" customHeight="1">
      <c r="A76" s="188">
        <v>73</v>
      </c>
      <c r="B76" s="13"/>
      <c r="C76" s="13"/>
      <c r="D76" s="13"/>
      <c r="E76" s="13"/>
      <c r="F76" s="13"/>
      <c r="G76" s="13"/>
      <c r="H76" s="13"/>
      <c r="I76" s="13"/>
      <c r="J76" s="13"/>
      <c r="K76" s="13"/>
      <c r="L76" s="13"/>
      <c r="M76" s="13"/>
    </row>
    <row r="77" spans="1:13" ht="12.75" customHeight="1">
      <c r="A77" s="188">
        <v>74</v>
      </c>
      <c r="B77" s="13"/>
      <c r="C77" s="13"/>
      <c r="D77" s="13"/>
      <c r="E77" s="13"/>
      <c r="F77" s="13"/>
      <c r="G77" s="13"/>
      <c r="H77" s="13"/>
      <c r="I77" s="13"/>
      <c r="J77" s="13"/>
      <c r="K77" s="13"/>
      <c r="L77" s="13"/>
      <c r="M77" s="13"/>
    </row>
    <row r="78" spans="1:13" ht="12.75" customHeight="1">
      <c r="A78" s="188">
        <v>75</v>
      </c>
      <c r="B78" s="13"/>
      <c r="C78" s="13"/>
      <c r="D78" s="13"/>
      <c r="E78" s="13"/>
      <c r="F78" s="13"/>
      <c r="G78" s="13"/>
      <c r="H78" s="13"/>
      <c r="I78" s="13"/>
      <c r="J78" s="13"/>
      <c r="K78" s="13"/>
      <c r="L78" s="13"/>
      <c r="M78" s="13"/>
    </row>
    <row r="79" spans="1:13" ht="12.75" customHeight="1">
      <c r="A79" s="188">
        <v>76</v>
      </c>
      <c r="B79" s="13"/>
      <c r="C79" s="13"/>
      <c r="D79" s="13"/>
      <c r="E79" s="13"/>
      <c r="F79" s="13"/>
      <c r="G79" s="13"/>
      <c r="H79" s="13"/>
      <c r="I79" s="13"/>
      <c r="J79" s="13"/>
      <c r="K79" s="13"/>
      <c r="L79" s="13"/>
      <c r="M79" s="13"/>
    </row>
    <row r="80" spans="1:13" ht="12.75" customHeight="1">
      <c r="A80" s="188">
        <v>77</v>
      </c>
      <c r="B80" s="13"/>
      <c r="C80" s="13"/>
      <c r="D80" s="13"/>
      <c r="E80" s="13"/>
      <c r="F80" s="13"/>
      <c r="G80" s="13"/>
      <c r="H80" s="13"/>
      <c r="I80" s="13"/>
      <c r="J80" s="13"/>
      <c r="K80" s="13"/>
      <c r="L80" s="13"/>
      <c r="M80" s="13"/>
    </row>
    <row r="81" spans="1:13" ht="12.75" customHeight="1">
      <c r="A81" s="188">
        <v>78</v>
      </c>
      <c r="B81" s="13"/>
      <c r="C81" s="13"/>
      <c r="D81" s="13"/>
      <c r="E81" s="13"/>
      <c r="F81" s="13"/>
      <c r="G81" s="13"/>
      <c r="H81" s="13"/>
      <c r="I81" s="13"/>
      <c r="J81" s="13"/>
      <c r="K81" s="13"/>
      <c r="L81" s="13"/>
      <c r="M81" s="13"/>
    </row>
    <row r="82" spans="1:13" ht="12.75" customHeight="1">
      <c r="A82" s="188">
        <v>79</v>
      </c>
      <c r="B82" s="13"/>
      <c r="C82" s="13"/>
      <c r="D82" s="13"/>
      <c r="E82" s="13"/>
      <c r="F82" s="13"/>
      <c r="G82" s="13"/>
      <c r="H82" s="13"/>
      <c r="I82" s="13"/>
      <c r="J82" s="13"/>
      <c r="K82" s="13"/>
      <c r="L82" s="13"/>
      <c r="M82" s="13"/>
    </row>
    <row r="83" spans="1:13" ht="12.75" customHeight="1">
      <c r="A83" s="188">
        <v>80</v>
      </c>
      <c r="B83" s="13"/>
      <c r="C83" s="13"/>
      <c r="D83" s="13"/>
      <c r="E83" s="13"/>
      <c r="F83" s="13"/>
      <c r="G83" s="13"/>
      <c r="H83" s="13"/>
      <c r="I83" s="13"/>
      <c r="J83" s="13"/>
      <c r="K83" s="13"/>
      <c r="L83" s="13"/>
      <c r="M83" s="13"/>
    </row>
    <row r="84" spans="1:13" ht="12.75" customHeight="1">
      <c r="A84" s="188">
        <v>81</v>
      </c>
      <c r="B84" s="13"/>
      <c r="C84" s="13"/>
      <c r="D84" s="13"/>
      <c r="E84" s="13"/>
      <c r="F84" s="13"/>
      <c r="G84" s="13"/>
      <c r="H84" s="13"/>
      <c r="I84" s="13"/>
      <c r="J84" s="13"/>
      <c r="K84" s="13"/>
      <c r="L84" s="13"/>
      <c r="M84" s="13"/>
    </row>
    <row r="85" spans="1:13" ht="12.75" customHeight="1">
      <c r="A85" s="188">
        <v>82</v>
      </c>
      <c r="B85" s="13"/>
      <c r="C85" s="13"/>
      <c r="D85" s="13"/>
      <c r="E85" s="13"/>
      <c r="F85" s="13"/>
      <c r="G85" s="13"/>
      <c r="H85" s="13"/>
      <c r="I85" s="13"/>
      <c r="J85" s="13"/>
      <c r="K85" s="13"/>
      <c r="L85" s="13"/>
      <c r="M85" s="13"/>
    </row>
    <row r="86" spans="1:13" ht="12.75" customHeight="1">
      <c r="A86" s="188">
        <v>83</v>
      </c>
      <c r="B86" s="13"/>
      <c r="C86" s="13"/>
      <c r="D86" s="13"/>
      <c r="E86" s="13"/>
      <c r="F86" s="13"/>
      <c r="G86" s="13"/>
      <c r="H86" s="13"/>
      <c r="I86" s="13"/>
      <c r="J86" s="13"/>
      <c r="K86" s="13"/>
      <c r="L86" s="13"/>
      <c r="M86" s="13"/>
    </row>
    <row r="87" spans="1:13" ht="12.75" customHeight="1">
      <c r="A87" s="188">
        <v>84</v>
      </c>
      <c r="B87" s="13"/>
      <c r="C87" s="13"/>
      <c r="D87" s="13"/>
      <c r="E87" s="13"/>
      <c r="F87" s="13"/>
      <c r="G87" s="13"/>
      <c r="H87" s="13"/>
      <c r="I87" s="13"/>
      <c r="J87" s="13"/>
      <c r="K87" s="13"/>
      <c r="L87" s="13"/>
      <c r="M87" s="13"/>
    </row>
    <row r="88" spans="1:13" ht="12.75" customHeight="1">
      <c r="A88" s="188">
        <v>85</v>
      </c>
      <c r="B88" s="13"/>
      <c r="C88" s="13"/>
      <c r="D88" s="13"/>
      <c r="E88" s="13"/>
      <c r="F88" s="13"/>
      <c r="G88" s="13"/>
      <c r="H88" s="13"/>
      <c r="I88" s="13"/>
      <c r="J88" s="13"/>
      <c r="K88" s="13"/>
      <c r="L88" s="13"/>
      <c r="M88" s="13"/>
    </row>
    <row r="89" spans="1:13" ht="12.75" customHeight="1">
      <c r="A89" s="188">
        <v>86</v>
      </c>
      <c r="B89" s="13"/>
      <c r="C89" s="13"/>
      <c r="D89" s="13"/>
      <c r="E89" s="13"/>
      <c r="F89" s="13"/>
      <c r="G89" s="13"/>
      <c r="H89" s="13"/>
      <c r="I89" s="13"/>
      <c r="J89" s="13"/>
      <c r="K89" s="13"/>
      <c r="L89" s="13"/>
      <c r="M89" s="13"/>
    </row>
    <row r="90" spans="1:13" ht="12.75" customHeight="1">
      <c r="A90" s="188">
        <v>87</v>
      </c>
      <c r="B90" s="13"/>
      <c r="C90" s="13"/>
      <c r="D90" s="13"/>
      <c r="E90" s="13"/>
      <c r="F90" s="13"/>
      <c r="G90" s="13"/>
      <c r="H90" s="13"/>
      <c r="I90" s="13"/>
      <c r="J90" s="13"/>
      <c r="K90" s="13"/>
      <c r="L90" s="13"/>
      <c r="M90" s="13"/>
    </row>
    <row r="91" spans="1:13" ht="12.75" customHeight="1">
      <c r="A91" s="188">
        <v>88</v>
      </c>
      <c r="B91" s="13"/>
      <c r="C91" s="13"/>
      <c r="D91" s="13"/>
      <c r="E91" s="13"/>
      <c r="F91" s="13"/>
      <c r="G91" s="13"/>
      <c r="H91" s="13"/>
      <c r="I91" s="13"/>
      <c r="J91" s="13"/>
      <c r="K91" s="13"/>
      <c r="L91" s="13"/>
      <c r="M91" s="13"/>
    </row>
    <row r="92" spans="1:13" ht="12.75" customHeight="1">
      <c r="A92" s="188">
        <v>89</v>
      </c>
      <c r="B92" s="13"/>
      <c r="C92" s="13"/>
      <c r="D92" s="13"/>
      <c r="E92" s="13"/>
      <c r="F92" s="13"/>
      <c r="G92" s="13"/>
      <c r="H92" s="13"/>
      <c r="I92" s="13"/>
      <c r="J92" s="13"/>
      <c r="K92" s="13"/>
      <c r="L92" s="13"/>
      <c r="M92" s="13"/>
    </row>
    <row r="93" spans="1:13" ht="12.75" customHeight="1">
      <c r="A93" s="188">
        <v>90</v>
      </c>
      <c r="B93" s="13"/>
      <c r="C93" s="13"/>
      <c r="D93" s="13"/>
      <c r="E93" s="13"/>
      <c r="F93" s="13"/>
      <c r="G93" s="13"/>
      <c r="H93" s="13"/>
      <c r="I93" s="13"/>
      <c r="J93" s="13"/>
      <c r="K93" s="13"/>
      <c r="L93" s="13"/>
      <c r="M93" s="13"/>
    </row>
    <row r="94" spans="1:13" ht="12.75" customHeight="1">
      <c r="A94" s="188">
        <v>91</v>
      </c>
      <c r="B94" s="13"/>
      <c r="C94" s="13"/>
      <c r="D94" s="13"/>
      <c r="E94" s="13"/>
      <c r="F94" s="13"/>
      <c r="G94" s="13"/>
      <c r="H94" s="13"/>
      <c r="I94" s="13"/>
      <c r="J94" s="13"/>
      <c r="K94" s="13"/>
      <c r="L94" s="13"/>
      <c r="M94" s="13"/>
    </row>
    <row r="95" spans="1:13" ht="12.75" customHeight="1">
      <c r="A95" s="188">
        <v>92</v>
      </c>
      <c r="B95" s="13"/>
      <c r="C95" s="13"/>
      <c r="D95" s="13"/>
      <c r="E95" s="13"/>
      <c r="F95" s="13"/>
      <c r="G95" s="13"/>
      <c r="H95" s="13"/>
      <c r="I95" s="13"/>
      <c r="J95" s="13"/>
      <c r="K95" s="13"/>
      <c r="L95" s="13"/>
      <c r="M95" s="13"/>
    </row>
    <row r="96" spans="1:13" ht="12.75" customHeight="1">
      <c r="A96" s="188">
        <v>93</v>
      </c>
      <c r="B96" s="13"/>
      <c r="C96" s="13"/>
      <c r="D96" s="13"/>
      <c r="E96" s="13"/>
      <c r="F96" s="13"/>
      <c r="G96" s="13"/>
      <c r="H96" s="13"/>
      <c r="I96" s="13"/>
      <c r="J96" s="13"/>
      <c r="K96" s="13"/>
      <c r="L96" s="13"/>
      <c r="M96" s="13"/>
    </row>
    <row r="97" spans="1:13" ht="12.75" customHeight="1">
      <c r="A97" s="188">
        <v>94</v>
      </c>
      <c r="B97" s="13"/>
      <c r="C97" s="13"/>
      <c r="D97" s="13"/>
      <c r="E97" s="13"/>
      <c r="F97" s="13"/>
      <c r="G97" s="13"/>
      <c r="H97" s="13"/>
      <c r="I97" s="13"/>
      <c r="J97" s="13"/>
      <c r="K97" s="13"/>
      <c r="L97" s="13"/>
      <c r="M97" s="13"/>
    </row>
    <row r="98" spans="1:13" ht="12.75" customHeight="1">
      <c r="A98" s="188">
        <v>95</v>
      </c>
      <c r="B98" s="13"/>
      <c r="C98" s="13"/>
      <c r="D98" s="13"/>
      <c r="E98" s="13"/>
      <c r="F98" s="13"/>
      <c r="G98" s="13"/>
      <c r="H98" s="13"/>
      <c r="I98" s="13"/>
      <c r="J98" s="13"/>
      <c r="K98" s="13"/>
      <c r="L98" s="13"/>
      <c r="M98" s="13"/>
    </row>
    <row r="99" spans="1:13" ht="12.75">
      <c r="A99" s="188">
        <v>96</v>
      </c>
      <c r="B99" s="13"/>
      <c r="C99" s="13"/>
      <c r="D99" s="13"/>
      <c r="E99" s="13"/>
      <c r="F99" s="13"/>
      <c r="G99" s="13"/>
      <c r="H99" s="13"/>
      <c r="I99" s="13"/>
      <c r="J99" s="13"/>
      <c r="K99" s="13"/>
      <c r="L99" s="13"/>
      <c r="M99" s="13"/>
    </row>
    <row r="100" spans="1:13" ht="12.75" customHeight="1">
      <c r="A100" s="188">
        <v>97</v>
      </c>
      <c r="B100" s="13"/>
      <c r="C100" s="13"/>
      <c r="D100" s="13"/>
      <c r="E100" s="13"/>
      <c r="F100" s="13"/>
      <c r="G100" s="13"/>
      <c r="H100" s="13"/>
      <c r="I100" s="13"/>
      <c r="J100" s="13"/>
      <c r="K100" s="13"/>
      <c r="L100" s="13"/>
      <c r="M100" s="13"/>
    </row>
    <row r="101" spans="1:13" ht="12.75" customHeight="1">
      <c r="A101" s="188">
        <v>98</v>
      </c>
      <c r="B101" s="13"/>
      <c r="C101" s="13"/>
      <c r="D101" s="13"/>
      <c r="E101" s="13"/>
      <c r="F101" s="13"/>
      <c r="G101" s="13"/>
      <c r="H101" s="13"/>
      <c r="I101" s="13"/>
      <c r="J101" s="13"/>
      <c r="K101" s="13"/>
      <c r="L101" s="13"/>
      <c r="M101" s="13"/>
    </row>
    <row r="102" spans="1:13" ht="12.75" customHeight="1">
      <c r="A102" s="188">
        <v>99</v>
      </c>
      <c r="B102" s="13"/>
      <c r="C102" s="13"/>
      <c r="D102" s="13"/>
      <c r="E102" s="13"/>
      <c r="F102" s="13"/>
      <c r="G102" s="13"/>
      <c r="H102" s="13"/>
      <c r="I102" s="13"/>
      <c r="J102" s="13"/>
      <c r="K102" s="13"/>
      <c r="L102" s="13"/>
      <c r="M102" s="13"/>
    </row>
    <row r="103" spans="1:13" ht="12.75" customHeight="1">
      <c r="A103" s="188">
        <v>100</v>
      </c>
      <c r="B103" s="13"/>
      <c r="C103" s="13"/>
      <c r="D103" s="13"/>
      <c r="E103" s="13"/>
      <c r="F103" s="13"/>
      <c r="G103" s="13"/>
      <c r="H103" s="13"/>
      <c r="I103" s="13"/>
      <c r="J103" s="13"/>
      <c r="K103" s="13"/>
      <c r="L103" s="13"/>
      <c r="M103" s="13"/>
    </row>
    <row r="104" spans="1:13" ht="12.75" customHeight="1">
      <c r="A104" s="188">
        <v>101</v>
      </c>
      <c r="B104" s="13"/>
      <c r="C104" s="13"/>
      <c r="D104" s="13"/>
      <c r="E104" s="13"/>
      <c r="F104" s="13"/>
      <c r="G104" s="13"/>
      <c r="H104" s="13"/>
      <c r="I104" s="13"/>
      <c r="J104" s="13"/>
      <c r="K104" s="13"/>
      <c r="L104" s="13"/>
      <c r="M104" s="13"/>
    </row>
    <row r="105" spans="1:13" ht="12.75" customHeight="1">
      <c r="A105" s="188">
        <v>102</v>
      </c>
      <c r="B105" s="13"/>
      <c r="C105" s="13"/>
      <c r="D105" s="13"/>
      <c r="E105" s="13"/>
      <c r="F105" s="13"/>
      <c r="G105" s="13"/>
      <c r="H105" s="13"/>
      <c r="I105" s="13"/>
      <c r="J105" s="13"/>
      <c r="K105" s="13"/>
      <c r="L105" s="13"/>
      <c r="M105" s="13"/>
    </row>
    <row r="106" spans="1:13" ht="12.75" customHeight="1">
      <c r="A106" s="188">
        <v>103</v>
      </c>
      <c r="B106" s="13"/>
      <c r="C106" s="13"/>
      <c r="D106" s="13"/>
      <c r="E106" s="13"/>
      <c r="F106" s="13"/>
      <c r="G106" s="13"/>
      <c r="H106" s="13"/>
      <c r="I106" s="13"/>
      <c r="J106" s="13"/>
      <c r="K106" s="13"/>
      <c r="L106" s="13"/>
      <c r="M106" s="13"/>
    </row>
    <row r="107" spans="1:13" ht="12.75" customHeight="1">
      <c r="A107" s="188">
        <v>104</v>
      </c>
      <c r="B107" s="13"/>
      <c r="C107" s="13"/>
      <c r="D107" s="13"/>
      <c r="E107" s="13"/>
      <c r="F107" s="13"/>
      <c r="G107" s="13"/>
      <c r="H107" s="13"/>
      <c r="I107" s="13"/>
      <c r="J107" s="13"/>
      <c r="K107" s="13"/>
      <c r="L107" s="13"/>
      <c r="M107" s="13"/>
    </row>
    <row r="108" spans="1:13" ht="12.75" customHeight="1">
      <c r="A108" s="188">
        <v>105</v>
      </c>
      <c r="B108" s="13"/>
      <c r="C108" s="13"/>
      <c r="D108" s="13"/>
      <c r="E108" s="13"/>
      <c r="F108" s="13"/>
      <c r="G108" s="13"/>
      <c r="H108" s="13"/>
      <c r="I108" s="13"/>
      <c r="J108" s="13"/>
      <c r="K108" s="13"/>
      <c r="L108" s="13"/>
      <c r="M108" s="13"/>
    </row>
    <row r="109" spans="1:13" ht="12.75" customHeight="1">
      <c r="A109" s="188">
        <v>106</v>
      </c>
      <c r="B109" s="13"/>
      <c r="C109" s="13"/>
      <c r="D109" s="13"/>
      <c r="E109" s="13"/>
      <c r="F109" s="13"/>
      <c r="G109" s="13"/>
      <c r="H109" s="13"/>
      <c r="I109" s="13"/>
      <c r="J109" s="13"/>
      <c r="K109" s="13"/>
      <c r="L109" s="13"/>
      <c r="M109" s="13"/>
    </row>
    <row r="110" spans="1:13" ht="12.75" customHeight="1">
      <c r="A110" s="188">
        <v>107</v>
      </c>
      <c r="B110" s="13"/>
      <c r="C110" s="13"/>
      <c r="D110" s="13"/>
      <c r="E110" s="13"/>
      <c r="F110" s="13"/>
      <c r="G110" s="13"/>
      <c r="H110" s="13"/>
      <c r="I110" s="13"/>
      <c r="J110" s="13"/>
      <c r="K110" s="13"/>
      <c r="L110" s="13"/>
      <c r="M110" s="13"/>
    </row>
    <row r="111" spans="1:13" ht="12.75" customHeight="1">
      <c r="A111" s="188">
        <v>108</v>
      </c>
      <c r="B111" s="13"/>
      <c r="C111" s="13"/>
      <c r="D111" s="13"/>
      <c r="E111" s="13"/>
      <c r="F111" s="13"/>
      <c r="G111" s="13"/>
      <c r="H111" s="13"/>
      <c r="I111" s="13"/>
      <c r="J111" s="13"/>
      <c r="K111" s="13"/>
      <c r="L111" s="13"/>
      <c r="M111" s="13"/>
    </row>
    <row r="112" spans="1:13" ht="12.75" customHeight="1">
      <c r="A112" s="188">
        <v>109</v>
      </c>
      <c r="B112" s="13"/>
      <c r="C112" s="13"/>
      <c r="D112" s="13"/>
      <c r="E112" s="13"/>
      <c r="F112" s="13"/>
      <c r="G112" s="13"/>
      <c r="H112" s="13"/>
      <c r="I112" s="13"/>
      <c r="J112" s="13"/>
      <c r="K112" s="13"/>
      <c r="L112" s="13"/>
      <c r="M112" s="13"/>
    </row>
    <row r="113" spans="1:13" ht="12.75" customHeight="1">
      <c r="A113" s="188">
        <v>110</v>
      </c>
      <c r="B113" s="13"/>
      <c r="C113" s="13"/>
      <c r="D113" s="13"/>
      <c r="E113" s="13"/>
      <c r="F113" s="13"/>
      <c r="G113" s="13"/>
      <c r="H113" s="13"/>
      <c r="I113" s="13"/>
      <c r="J113" s="13"/>
      <c r="K113" s="13"/>
      <c r="L113" s="13"/>
      <c r="M113" s="13"/>
    </row>
    <row r="114" spans="1:13" ht="12.75" customHeight="1">
      <c r="A114" s="188">
        <v>111</v>
      </c>
      <c r="B114" s="13"/>
      <c r="C114" s="13"/>
      <c r="D114" s="13"/>
      <c r="E114" s="13"/>
      <c r="F114" s="13"/>
      <c r="G114" s="13"/>
      <c r="H114" s="13"/>
      <c r="I114" s="13"/>
      <c r="J114" s="13"/>
      <c r="K114" s="13"/>
      <c r="L114" s="13"/>
      <c r="M114" s="13"/>
    </row>
    <row r="115" spans="1:13" ht="12.75" customHeight="1">
      <c r="A115" s="188">
        <v>112</v>
      </c>
      <c r="B115" s="13"/>
      <c r="C115" s="13"/>
      <c r="D115" s="13"/>
      <c r="E115" s="13"/>
      <c r="F115" s="13"/>
      <c r="G115" s="13"/>
      <c r="H115" s="13"/>
      <c r="I115" s="13"/>
      <c r="J115" s="13"/>
      <c r="K115" s="13"/>
      <c r="L115" s="13"/>
      <c r="M115" s="13"/>
    </row>
    <row r="116" spans="1:13" ht="12.75" customHeight="1">
      <c r="A116" s="188">
        <v>113</v>
      </c>
      <c r="B116" s="13"/>
      <c r="C116" s="13"/>
      <c r="D116" s="13"/>
      <c r="E116" s="13"/>
      <c r="F116" s="13"/>
      <c r="G116" s="13"/>
      <c r="H116" s="13"/>
      <c r="I116" s="13"/>
      <c r="J116" s="13"/>
      <c r="K116" s="13"/>
      <c r="L116" s="13"/>
      <c r="M116" s="13"/>
    </row>
    <row r="117" spans="1:13" ht="12.75" customHeight="1">
      <c r="A117" s="188">
        <v>114</v>
      </c>
      <c r="B117" s="13"/>
      <c r="C117" s="13"/>
      <c r="D117" s="13"/>
      <c r="E117" s="13"/>
      <c r="F117" s="13"/>
      <c r="G117" s="13"/>
      <c r="H117" s="13"/>
      <c r="I117" s="13"/>
      <c r="J117" s="13"/>
      <c r="K117" s="13"/>
      <c r="L117" s="13"/>
      <c r="M117" s="13"/>
    </row>
    <row r="118" spans="1:13" ht="12.75" customHeight="1">
      <c r="A118" s="188">
        <v>115</v>
      </c>
      <c r="B118" s="13"/>
      <c r="C118" s="13"/>
      <c r="D118" s="13"/>
      <c r="E118" s="13"/>
      <c r="F118" s="13"/>
      <c r="G118" s="13"/>
      <c r="H118" s="13"/>
      <c r="I118" s="13"/>
      <c r="J118" s="13"/>
      <c r="K118" s="13"/>
      <c r="L118" s="13"/>
      <c r="M118" s="13"/>
    </row>
    <row r="119" spans="1:13" ht="12.75" customHeight="1">
      <c r="A119" s="188">
        <v>116</v>
      </c>
      <c r="B119" s="13"/>
      <c r="C119" s="13"/>
      <c r="D119" s="13"/>
      <c r="E119" s="13"/>
      <c r="F119" s="13"/>
      <c r="G119" s="13"/>
      <c r="H119" s="13"/>
      <c r="I119" s="13"/>
      <c r="J119" s="13"/>
      <c r="K119" s="13"/>
      <c r="L119" s="13"/>
      <c r="M119" s="13"/>
    </row>
    <row r="120" spans="1:13" ht="12.75" customHeight="1">
      <c r="A120" s="188">
        <v>117</v>
      </c>
      <c r="B120" s="13"/>
      <c r="C120" s="13"/>
      <c r="D120" s="13"/>
      <c r="E120" s="13"/>
      <c r="F120" s="13"/>
      <c r="G120" s="13"/>
      <c r="H120" s="13"/>
      <c r="I120" s="13"/>
      <c r="J120" s="13"/>
      <c r="K120" s="13"/>
      <c r="L120" s="13"/>
      <c r="M120" s="13"/>
    </row>
    <row r="121" spans="1:13" ht="12.75" customHeight="1">
      <c r="A121" s="188">
        <v>118</v>
      </c>
      <c r="B121" s="13"/>
      <c r="C121" s="13"/>
      <c r="D121" s="13"/>
      <c r="E121" s="13"/>
      <c r="F121" s="13"/>
      <c r="G121" s="13"/>
      <c r="H121" s="13"/>
      <c r="I121" s="13"/>
      <c r="J121" s="13"/>
      <c r="K121" s="13"/>
      <c r="L121" s="13"/>
      <c r="M121" s="13"/>
    </row>
    <row r="122" spans="1:13" ht="12.75" customHeight="1">
      <c r="A122" s="188">
        <v>119</v>
      </c>
      <c r="B122" s="13"/>
      <c r="C122" s="13"/>
      <c r="D122" s="13"/>
      <c r="E122" s="13"/>
      <c r="F122" s="13"/>
      <c r="G122" s="13"/>
      <c r="H122" s="13"/>
      <c r="I122" s="13"/>
      <c r="J122" s="13"/>
      <c r="K122" s="13"/>
      <c r="L122" s="13"/>
      <c r="M122" s="13"/>
    </row>
    <row r="123" spans="1:13" ht="12.75" customHeight="1">
      <c r="A123" s="188">
        <v>120</v>
      </c>
      <c r="B123" s="13"/>
      <c r="C123" s="13"/>
      <c r="D123" s="13"/>
      <c r="E123" s="13"/>
      <c r="F123" s="13"/>
      <c r="G123" s="13"/>
      <c r="H123" s="13"/>
      <c r="I123" s="13"/>
      <c r="J123" s="13"/>
      <c r="K123" s="13"/>
      <c r="L123" s="13"/>
      <c r="M123" s="13"/>
    </row>
    <row r="124" spans="1:13" ht="12.75" customHeight="1">
      <c r="A124" s="188">
        <v>121</v>
      </c>
      <c r="B124" s="13"/>
      <c r="C124" s="13"/>
      <c r="D124" s="13"/>
      <c r="E124" s="13"/>
      <c r="F124" s="13"/>
      <c r="G124" s="13"/>
      <c r="H124" s="13"/>
      <c r="I124" s="13"/>
      <c r="J124" s="13"/>
      <c r="K124" s="13"/>
      <c r="L124" s="13"/>
      <c r="M124" s="13"/>
    </row>
    <row r="125" spans="1:13" ht="12.75" customHeight="1">
      <c r="A125" s="188">
        <v>122</v>
      </c>
      <c r="B125" s="13"/>
      <c r="C125" s="13"/>
      <c r="D125" s="13"/>
      <c r="E125" s="13"/>
      <c r="F125" s="13"/>
      <c r="G125" s="13"/>
      <c r="H125" s="13"/>
      <c r="I125" s="13"/>
      <c r="J125" s="13"/>
      <c r="K125" s="13"/>
      <c r="L125" s="13"/>
      <c r="M125" s="13"/>
    </row>
    <row r="126" spans="1:13" ht="12.75" customHeight="1">
      <c r="A126" s="188">
        <v>123</v>
      </c>
      <c r="B126" s="13"/>
      <c r="C126" s="13"/>
      <c r="D126" s="13"/>
      <c r="E126" s="13"/>
      <c r="F126" s="13"/>
      <c r="G126" s="13"/>
      <c r="H126" s="13"/>
      <c r="I126" s="13"/>
      <c r="J126" s="13"/>
      <c r="K126" s="13"/>
      <c r="L126" s="13"/>
      <c r="M126" s="13"/>
    </row>
    <row r="127" spans="1:13" ht="12.75" customHeight="1">
      <c r="A127" s="188">
        <v>124</v>
      </c>
      <c r="B127" s="13"/>
      <c r="C127" s="13"/>
      <c r="D127" s="13"/>
      <c r="E127" s="13"/>
      <c r="F127" s="13"/>
      <c r="G127" s="13"/>
      <c r="H127" s="13"/>
      <c r="I127" s="13"/>
      <c r="J127" s="13"/>
      <c r="K127" s="13"/>
      <c r="L127" s="13"/>
      <c r="M127" s="13"/>
    </row>
    <row r="128" spans="1:13" ht="12.75" customHeight="1">
      <c r="A128" s="188">
        <v>125</v>
      </c>
      <c r="B128" s="13"/>
      <c r="C128" s="13"/>
      <c r="D128" s="13"/>
      <c r="E128" s="13"/>
      <c r="F128" s="13"/>
      <c r="G128" s="13"/>
      <c r="H128" s="13"/>
      <c r="I128" s="13"/>
      <c r="J128" s="13"/>
      <c r="K128" s="13"/>
      <c r="L128" s="13"/>
      <c r="M128" s="13"/>
    </row>
    <row r="129" spans="1:13" ht="12.75" customHeight="1">
      <c r="A129" s="188">
        <v>126</v>
      </c>
      <c r="B129" s="13"/>
      <c r="C129" s="13"/>
      <c r="D129" s="13"/>
      <c r="E129" s="13"/>
      <c r="F129" s="13"/>
      <c r="G129" s="13"/>
      <c r="H129" s="13"/>
      <c r="I129" s="13"/>
      <c r="J129" s="13"/>
      <c r="K129" s="13"/>
      <c r="L129" s="13"/>
      <c r="M129" s="13"/>
    </row>
    <row r="130" spans="1:13" ht="12.75" customHeight="1">
      <c r="A130" s="188">
        <v>127</v>
      </c>
      <c r="B130" s="13"/>
      <c r="C130" s="13"/>
      <c r="D130" s="13"/>
      <c r="E130" s="13"/>
      <c r="F130" s="13"/>
      <c r="G130" s="13"/>
      <c r="H130" s="13"/>
      <c r="I130" s="13"/>
      <c r="J130" s="13"/>
      <c r="K130" s="13"/>
      <c r="L130" s="13"/>
      <c r="M130" s="13"/>
    </row>
    <row r="131" spans="1:13" ht="12.75" customHeight="1">
      <c r="A131" s="188">
        <v>128</v>
      </c>
      <c r="B131" s="13"/>
      <c r="C131" s="13"/>
      <c r="D131" s="13"/>
      <c r="E131" s="13"/>
      <c r="F131" s="13"/>
      <c r="G131" s="13"/>
      <c r="H131" s="13"/>
      <c r="I131" s="13"/>
      <c r="J131" s="13"/>
      <c r="K131" s="13"/>
      <c r="L131" s="13"/>
      <c r="M131" s="13"/>
    </row>
    <row r="132" spans="1:13" ht="12.75" customHeight="1">
      <c r="A132" s="188">
        <v>129</v>
      </c>
      <c r="B132" s="13"/>
      <c r="C132" s="13"/>
      <c r="D132" s="13"/>
      <c r="E132" s="13"/>
      <c r="F132" s="13"/>
      <c r="G132" s="13"/>
      <c r="H132" s="13"/>
      <c r="I132" s="13"/>
      <c r="J132" s="13"/>
      <c r="K132" s="13"/>
      <c r="L132" s="13"/>
      <c r="M132" s="13"/>
    </row>
    <row r="133" spans="1:13" ht="12.75" customHeight="1">
      <c r="A133" s="188">
        <v>130</v>
      </c>
      <c r="B133" s="13"/>
      <c r="C133" s="13"/>
      <c r="D133" s="13"/>
      <c r="E133" s="13"/>
      <c r="F133" s="13"/>
      <c r="G133" s="13"/>
      <c r="H133" s="13"/>
      <c r="I133" s="13"/>
      <c r="J133" s="13"/>
      <c r="K133" s="13"/>
      <c r="L133" s="13"/>
      <c r="M133" s="13"/>
    </row>
    <row r="134" spans="1:13" ht="12.75" customHeight="1">
      <c r="A134" s="188">
        <v>131</v>
      </c>
      <c r="B134" s="13"/>
      <c r="C134" s="13"/>
      <c r="D134" s="13"/>
      <c r="E134" s="13"/>
      <c r="F134" s="13"/>
      <c r="G134" s="13"/>
      <c r="H134" s="13"/>
      <c r="I134" s="13"/>
      <c r="J134" s="13"/>
      <c r="K134" s="13"/>
      <c r="L134" s="13"/>
      <c r="M134" s="13"/>
    </row>
    <row r="135" spans="1:13" ht="12.75" customHeight="1">
      <c r="A135" s="188">
        <v>132</v>
      </c>
      <c r="B135" s="13"/>
      <c r="C135" s="13"/>
      <c r="D135" s="13"/>
      <c r="E135" s="13"/>
      <c r="F135" s="13"/>
      <c r="G135" s="13"/>
      <c r="H135" s="13"/>
      <c r="I135" s="13"/>
      <c r="J135" s="13"/>
      <c r="K135" s="13"/>
      <c r="L135" s="13"/>
      <c r="M135" s="13"/>
    </row>
    <row r="136" spans="1:13" ht="12.75" customHeight="1">
      <c r="A136" s="188">
        <v>133</v>
      </c>
      <c r="B136" s="13"/>
      <c r="C136" s="13"/>
      <c r="D136" s="13"/>
      <c r="E136" s="13"/>
      <c r="F136" s="13"/>
      <c r="G136" s="13"/>
      <c r="H136" s="13"/>
      <c r="I136" s="13"/>
      <c r="J136" s="13"/>
      <c r="K136" s="13"/>
      <c r="L136" s="13"/>
      <c r="M136" s="13"/>
    </row>
    <row r="137" spans="1:13" ht="12.75" customHeight="1">
      <c r="A137" s="188">
        <v>134</v>
      </c>
      <c r="B137" s="13"/>
      <c r="C137" s="13"/>
      <c r="D137" s="13"/>
      <c r="E137" s="13"/>
      <c r="F137" s="13"/>
      <c r="G137" s="13"/>
      <c r="H137" s="13"/>
      <c r="I137" s="13"/>
      <c r="J137" s="13"/>
      <c r="K137" s="13"/>
      <c r="L137" s="13"/>
      <c r="M137" s="13"/>
    </row>
    <row r="138" spans="1:13" ht="12.75" customHeight="1">
      <c r="A138" s="188">
        <v>135</v>
      </c>
      <c r="B138" s="13"/>
      <c r="C138" s="13"/>
      <c r="D138" s="13"/>
      <c r="E138" s="13"/>
      <c r="F138" s="13"/>
      <c r="G138" s="13"/>
      <c r="H138" s="13"/>
      <c r="I138" s="13"/>
      <c r="J138" s="13"/>
      <c r="K138" s="13"/>
      <c r="L138" s="13"/>
      <c r="M138" s="13"/>
    </row>
    <row r="139" spans="1:13" ht="12.75" customHeight="1">
      <c r="A139" s="188">
        <v>136</v>
      </c>
      <c r="B139" s="13"/>
      <c r="C139" s="13"/>
      <c r="D139" s="13"/>
      <c r="E139" s="13"/>
      <c r="F139" s="13"/>
      <c r="G139" s="13"/>
      <c r="H139" s="13"/>
      <c r="I139" s="13"/>
      <c r="J139" s="13"/>
      <c r="K139" s="13"/>
      <c r="L139" s="13"/>
      <c r="M139" s="13"/>
    </row>
    <row r="140" spans="1:13" ht="12.75" customHeight="1">
      <c r="A140" s="188">
        <v>137</v>
      </c>
      <c r="B140" s="13"/>
      <c r="C140" s="13"/>
      <c r="D140" s="13"/>
      <c r="E140" s="13"/>
      <c r="F140" s="13"/>
      <c r="G140" s="13"/>
      <c r="H140" s="13"/>
      <c r="I140" s="13"/>
      <c r="J140" s="13"/>
      <c r="K140" s="13"/>
      <c r="L140" s="13"/>
      <c r="M140" s="13"/>
    </row>
    <row r="141" spans="1:13" ht="12.75" customHeight="1">
      <c r="A141" s="188">
        <v>138</v>
      </c>
      <c r="B141" s="13"/>
      <c r="C141" s="13"/>
      <c r="D141" s="13"/>
      <c r="E141" s="13"/>
      <c r="F141" s="13"/>
      <c r="G141" s="13"/>
      <c r="H141" s="13"/>
      <c r="I141" s="13"/>
      <c r="J141" s="13"/>
      <c r="K141" s="13"/>
      <c r="L141" s="13"/>
      <c r="M141" s="13"/>
    </row>
    <row r="142" spans="1:13" ht="12.75" customHeight="1">
      <c r="A142" s="188">
        <v>139</v>
      </c>
      <c r="B142" s="13"/>
      <c r="C142" s="13"/>
      <c r="D142" s="13"/>
      <c r="E142" s="13"/>
      <c r="F142" s="13"/>
      <c r="G142" s="13"/>
      <c r="H142" s="13"/>
      <c r="I142" s="13"/>
      <c r="J142" s="13"/>
      <c r="K142" s="13"/>
      <c r="L142" s="13"/>
      <c r="M142" s="13"/>
    </row>
    <row r="143" spans="1:13" ht="12.75" customHeight="1">
      <c r="A143" s="188">
        <v>140</v>
      </c>
      <c r="B143" s="13"/>
      <c r="C143" s="13"/>
      <c r="D143" s="13"/>
      <c r="E143" s="13"/>
      <c r="F143" s="13"/>
      <c r="G143" s="13"/>
      <c r="H143" s="13"/>
      <c r="I143" s="13"/>
      <c r="J143" s="13"/>
      <c r="K143" s="13"/>
      <c r="L143" s="13"/>
      <c r="M143" s="13"/>
    </row>
    <row r="144" spans="1:13" ht="12.75" customHeight="1">
      <c r="A144" s="188">
        <v>141</v>
      </c>
      <c r="B144" s="13"/>
      <c r="C144" s="13"/>
      <c r="D144" s="13"/>
      <c r="E144" s="13"/>
      <c r="F144" s="13"/>
      <c r="G144" s="13"/>
      <c r="H144" s="13"/>
      <c r="I144" s="13"/>
      <c r="J144" s="13"/>
      <c r="K144" s="13"/>
      <c r="L144" s="13"/>
      <c r="M144" s="13"/>
    </row>
    <row r="145" spans="1:13" ht="12.75" customHeight="1">
      <c r="A145" s="188">
        <v>142</v>
      </c>
      <c r="B145" s="13"/>
      <c r="C145" s="13"/>
      <c r="D145" s="13"/>
      <c r="E145" s="13"/>
      <c r="F145" s="13"/>
      <c r="G145" s="13"/>
      <c r="H145" s="13"/>
      <c r="I145" s="13"/>
      <c r="J145" s="13"/>
      <c r="K145" s="13"/>
      <c r="L145" s="13"/>
      <c r="M145" s="13"/>
    </row>
    <row r="146" spans="1:13" ht="12.75" customHeight="1">
      <c r="A146" s="188">
        <v>143</v>
      </c>
      <c r="B146" s="13"/>
      <c r="C146" s="13"/>
      <c r="D146" s="13"/>
      <c r="E146" s="13"/>
      <c r="F146" s="13"/>
      <c r="G146" s="13"/>
      <c r="H146" s="13"/>
      <c r="I146" s="13"/>
      <c r="J146" s="13"/>
      <c r="K146" s="13"/>
      <c r="L146" s="13"/>
      <c r="M146" s="13"/>
    </row>
    <row r="147" spans="1:13" ht="12.75" customHeight="1">
      <c r="A147" s="188">
        <v>144</v>
      </c>
      <c r="B147" s="13"/>
      <c r="C147" s="13"/>
      <c r="D147" s="13"/>
      <c r="E147" s="13"/>
      <c r="F147" s="13"/>
      <c r="G147" s="13"/>
      <c r="H147" s="13"/>
      <c r="I147" s="13"/>
      <c r="J147" s="13"/>
      <c r="K147" s="13"/>
      <c r="L147" s="13"/>
      <c r="M147" s="13"/>
    </row>
    <row r="148" spans="1:13" ht="12.75" customHeight="1">
      <c r="A148" s="188">
        <v>145</v>
      </c>
      <c r="B148" s="13"/>
      <c r="C148" s="13"/>
      <c r="D148" s="13"/>
      <c r="E148" s="13"/>
      <c r="F148" s="13"/>
      <c r="G148" s="13"/>
      <c r="H148" s="13"/>
      <c r="I148" s="13"/>
      <c r="J148" s="13"/>
      <c r="K148" s="13"/>
      <c r="L148" s="13"/>
      <c r="M148" s="13"/>
    </row>
    <row r="149" spans="1:13" ht="12.75" customHeight="1">
      <c r="A149" s="188">
        <v>146</v>
      </c>
      <c r="B149" s="13"/>
      <c r="C149" s="13"/>
      <c r="D149" s="13"/>
      <c r="E149" s="13"/>
      <c r="F149" s="13"/>
      <c r="G149" s="13"/>
      <c r="H149" s="13"/>
      <c r="I149" s="13"/>
      <c r="J149" s="13"/>
      <c r="K149" s="13"/>
      <c r="L149" s="13"/>
      <c r="M149" s="13"/>
    </row>
    <row r="150" spans="1:13" ht="12.75" customHeight="1">
      <c r="A150" s="188">
        <v>147</v>
      </c>
      <c r="B150" s="13"/>
      <c r="C150" s="13"/>
      <c r="D150" s="13"/>
      <c r="E150" s="13"/>
      <c r="F150" s="13"/>
      <c r="G150" s="13"/>
      <c r="H150" s="13"/>
      <c r="I150" s="13"/>
      <c r="J150" s="13"/>
      <c r="K150" s="13"/>
      <c r="L150" s="13"/>
      <c r="M150" s="13"/>
    </row>
    <row r="151" spans="1:13" ht="12.75" customHeight="1">
      <c r="A151" s="188">
        <v>148</v>
      </c>
      <c r="B151" s="13"/>
      <c r="C151" s="13"/>
      <c r="D151" s="13"/>
      <c r="E151" s="13"/>
      <c r="F151" s="13"/>
      <c r="G151" s="13"/>
      <c r="H151" s="13"/>
      <c r="I151" s="13"/>
      <c r="J151" s="13"/>
      <c r="K151" s="13"/>
      <c r="L151" s="13"/>
      <c r="M151" s="13"/>
    </row>
    <row r="152" spans="1:13" ht="12.75" customHeight="1">
      <c r="A152" s="188">
        <v>149</v>
      </c>
      <c r="B152" s="13"/>
      <c r="C152" s="13"/>
      <c r="D152" s="13"/>
      <c r="E152" s="13"/>
      <c r="F152" s="13"/>
      <c r="G152" s="13"/>
      <c r="H152" s="13"/>
      <c r="I152" s="13"/>
      <c r="J152" s="13"/>
      <c r="K152" s="13"/>
      <c r="L152" s="13"/>
      <c r="M152" s="13"/>
    </row>
    <row r="153" spans="1:13" ht="12.75" customHeight="1">
      <c r="A153" s="188">
        <v>150</v>
      </c>
      <c r="B153" s="13"/>
      <c r="C153" s="13"/>
      <c r="D153" s="13"/>
      <c r="E153" s="13"/>
      <c r="F153" s="13"/>
      <c r="G153" s="13"/>
      <c r="H153" s="13"/>
      <c r="I153" s="13"/>
      <c r="J153" s="13"/>
      <c r="K153" s="13"/>
      <c r="L153" s="13"/>
      <c r="M153" s="13"/>
    </row>
    <row r="154" spans="1:13" ht="12.75" customHeight="1">
      <c r="A154" s="188">
        <v>151</v>
      </c>
      <c r="B154" s="13"/>
      <c r="C154" s="13"/>
      <c r="D154" s="13"/>
      <c r="E154" s="13"/>
      <c r="F154" s="13"/>
      <c r="G154" s="13"/>
      <c r="H154" s="13"/>
      <c r="I154" s="13"/>
      <c r="J154" s="13"/>
      <c r="K154" s="13"/>
      <c r="L154" s="13"/>
      <c r="M154" s="13"/>
    </row>
    <row r="155" spans="1:13" ht="12.75" customHeight="1">
      <c r="A155" s="188">
        <v>152</v>
      </c>
      <c r="B155" s="13"/>
      <c r="C155" s="13"/>
      <c r="D155" s="13"/>
      <c r="E155" s="13"/>
      <c r="F155" s="13"/>
      <c r="G155" s="13"/>
      <c r="H155" s="13"/>
      <c r="I155" s="13"/>
      <c r="J155" s="13"/>
      <c r="K155" s="13"/>
      <c r="L155" s="13"/>
      <c r="M155" s="13"/>
    </row>
    <row r="156" spans="1:13" ht="12.75" customHeight="1">
      <c r="A156" s="188">
        <v>153</v>
      </c>
      <c r="B156" s="13"/>
      <c r="C156" s="13"/>
      <c r="D156" s="13"/>
      <c r="E156" s="13"/>
      <c r="F156" s="13"/>
      <c r="G156" s="13"/>
      <c r="H156" s="13"/>
      <c r="I156" s="13"/>
      <c r="J156" s="13"/>
      <c r="K156" s="13"/>
      <c r="L156" s="13"/>
      <c r="M156" s="13"/>
    </row>
    <row r="157" spans="1:13" ht="12.75" customHeight="1">
      <c r="A157" s="188">
        <v>154</v>
      </c>
      <c r="B157" s="13"/>
      <c r="C157" s="13"/>
      <c r="D157" s="13"/>
      <c r="E157" s="13"/>
      <c r="F157" s="13"/>
      <c r="G157" s="13"/>
      <c r="H157" s="13"/>
      <c r="I157" s="13"/>
      <c r="J157" s="13"/>
      <c r="K157" s="13"/>
      <c r="L157" s="13"/>
      <c r="M157" s="13"/>
    </row>
    <row r="158" spans="1:13" ht="12.75" customHeight="1">
      <c r="A158" s="188">
        <v>155</v>
      </c>
      <c r="B158" s="13"/>
      <c r="C158" s="13"/>
      <c r="D158" s="13"/>
      <c r="E158" s="13"/>
      <c r="F158" s="13"/>
      <c r="G158" s="13"/>
      <c r="H158" s="13"/>
      <c r="I158" s="13"/>
      <c r="J158" s="13"/>
      <c r="K158" s="13"/>
      <c r="L158" s="13"/>
      <c r="M158" s="13"/>
    </row>
    <row r="159" spans="1:13" ht="12.75" customHeight="1">
      <c r="A159" s="188">
        <v>156</v>
      </c>
      <c r="B159" s="13"/>
      <c r="C159" s="13"/>
      <c r="D159" s="13"/>
      <c r="E159" s="13"/>
      <c r="F159" s="13"/>
      <c r="G159" s="13"/>
      <c r="H159" s="13"/>
      <c r="I159" s="13"/>
      <c r="J159" s="13"/>
      <c r="K159" s="13"/>
      <c r="L159" s="13"/>
      <c r="M159" s="13"/>
    </row>
    <row r="160" spans="1:13" ht="12.75" customHeight="1">
      <c r="A160" s="188">
        <v>157</v>
      </c>
      <c r="B160" s="13"/>
      <c r="C160" s="13"/>
      <c r="D160" s="13"/>
      <c r="E160" s="13"/>
      <c r="F160" s="13"/>
      <c r="G160" s="13"/>
      <c r="H160" s="13"/>
      <c r="I160" s="13"/>
      <c r="J160" s="13"/>
      <c r="K160" s="13"/>
      <c r="L160" s="13"/>
      <c r="M160" s="13"/>
    </row>
    <row r="161" spans="1:13" ht="12.75" customHeight="1">
      <c r="A161" s="188">
        <v>158</v>
      </c>
      <c r="B161" s="13"/>
      <c r="C161" s="13"/>
      <c r="D161" s="13"/>
      <c r="E161" s="13"/>
      <c r="F161" s="13"/>
      <c r="G161" s="13"/>
      <c r="H161" s="13"/>
      <c r="I161" s="13"/>
      <c r="J161" s="13"/>
      <c r="K161" s="13"/>
      <c r="L161" s="13"/>
      <c r="M161" s="13"/>
    </row>
    <row r="162" spans="1:13" ht="12.75" customHeight="1">
      <c r="A162" s="188">
        <v>159</v>
      </c>
      <c r="B162" s="13"/>
      <c r="C162" s="13"/>
      <c r="D162" s="13"/>
      <c r="E162" s="13"/>
      <c r="F162" s="13"/>
      <c r="G162" s="13"/>
      <c r="H162" s="13"/>
      <c r="I162" s="13"/>
      <c r="J162" s="13"/>
      <c r="K162" s="13"/>
      <c r="L162" s="13"/>
      <c r="M162" s="13"/>
    </row>
    <row r="163" spans="1:13" ht="12.75" customHeight="1">
      <c r="A163" s="188">
        <v>160</v>
      </c>
      <c r="B163" s="13"/>
      <c r="C163" s="13"/>
      <c r="D163" s="13"/>
      <c r="E163" s="13"/>
      <c r="F163" s="13"/>
      <c r="G163" s="13"/>
      <c r="H163" s="13"/>
      <c r="I163" s="13"/>
      <c r="J163" s="13"/>
      <c r="K163" s="13"/>
      <c r="L163" s="13"/>
      <c r="M163" s="13"/>
    </row>
    <row r="164" spans="1:13" ht="12.75" customHeight="1">
      <c r="A164" s="188">
        <v>161</v>
      </c>
      <c r="B164" s="13"/>
      <c r="C164" s="13"/>
      <c r="D164" s="13"/>
      <c r="E164" s="13"/>
      <c r="F164" s="13"/>
      <c r="G164" s="13"/>
      <c r="H164" s="13"/>
      <c r="I164" s="13"/>
      <c r="J164" s="13"/>
      <c r="K164" s="13"/>
      <c r="L164" s="13"/>
      <c r="M164" s="13"/>
    </row>
    <row r="165" spans="1:13" ht="12.75" customHeight="1">
      <c r="A165" s="188">
        <v>162</v>
      </c>
      <c r="B165" s="13"/>
      <c r="C165" s="13"/>
      <c r="D165" s="13"/>
      <c r="E165" s="13"/>
      <c r="F165" s="13"/>
      <c r="G165" s="13"/>
      <c r="H165" s="13"/>
      <c r="I165" s="13"/>
      <c r="J165" s="13"/>
      <c r="K165" s="13"/>
      <c r="L165" s="13"/>
      <c r="M165" s="13"/>
    </row>
    <row r="166" spans="1:13" ht="12.75" customHeight="1">
      <c r="A166" s="188">
        <v>163</v>
      </c>
      <c r="B166" s="13"/>
      <c r="C166" s="13"/>
      <c r="D166" s="13"/>
      <c r="E166" s="13"/>
      <c r="F166" s="13"/>
      <c r="G166" s="13"/>
      <c r="H166" s="13"/>
      <c r="I166" s="13"/>
      <c r="J166" s="13"/>
      <c r="K166" s="13"/>
      <c r="L166" s="13"/>
      <c r="M166" s="13"/>
    </row>
    <row r="167" spans="1:13" ht="12.75" customHeight="1">
      <c r="A167" s="188">
        <v>164</v>
      </c>
      <c r="B167" s="13"/>
      <c r="C167" s="13"/>
      <c r="D167" s="13"/>
      <c r="E167" s="13"/>
      <c r="F167" s="13"/>
      <c r="G167" s="13"/>
      <c r="H167" s="13"/>
      <c r="I167" s="13"/>
      <c r="J167" s="13"/>
      <c r="K167" s="13"/>
      <c r="L167" s="13"/>
      <c r="M167" s="13"/>
    </row>
    <row r="168" spans="1:13" ht="12.75" customHeight="1">
      <c r="A168" s="188">
        <v>165</v>
      </c>
      <c r="B168" s="13"/>
      <c r="C168" s="13"/>
      <c r="D168" s="13"/>
      <c r="E168" s="13"/>
      <c r="F168" s="13"/>
      <c r="G168" s="13"/>
      <c r="H168" s="13"/>
      <c r="I168" s="13"/>
      <c r="J168" s="13"/>
      <c r="K168" s="13"/>
      <c r="L168" s="13"/>
      <c r="M168" s="13"/>
    </row>
    <row r="169" spans="1:13" ht="12.75" customHeight="1">
      <c r="A169" s="188">
        <v>166</v>
      </c>
      <c r="B169" s="13"/>
      <c r="C169" s="13"/>
      <c r="D169" s="13"/>
      <c r="E169" s="13"/>
      <c r="F169" s="13"/>
      <c r="G169" s="13"/>
      <c r="H169" s="13"/>
      <c r="I169" s="13"/>
      <c r="J169" s="13"/>
      <c r="K169" s="13"/>
      <c r="L169" s="13"/>
      <c r="M169" s="13"/>
    </row>
    <row r="170" spans="1:13" ht="12.75" customHeight="1">
      <c r="A170" s="188">
        <v>167</v>
      </c>
      <c r="B170" s="13"/>
      <c r="C170" s="13"/>
      <c r="D170" s="13"/>
      <c r="E170" s="13"/>
      <c r="F170" s="13"/>
      <c r="G170" s="13"/>
      <c r="H170" s="13"/>
      <c r="I170" s="13"/>
      <c r="J170" s="13"/>
      <c r="K170" s="13"/>
      <c r="L170" s="13"/>
      <c r="M170" s="13"/>
    </row>
    <row r="171" spans="1:13" ht="12.75" customHeight="1">
      <c r="A171" s="188">
        <v>168</v>
      </c>
      <c r="B171" s="13"/>
      <c r="C171" s="13"/>
      <c r="D171" s="13"/>
      <c r="E171" s="13"/>
      <c r="F171" s="13"/>
      <c r="G171" s="13"/>
      <c r="H171" s="13"/>
      <c r="I171" s="13"/>
      <c r="J171" s="13"/>
      <c r="K171" s="13"/>
      <c r="L171" s="13"/>
      <c r="M171" s="13"/>
    </row>
    <row r="172" spans="1:13" ht="12.75">
      <c r="A172" s="188">
        <v>169</v>
      </c>
      <c r="B172" s="13"/>
      <c r="C172" s="13"/>
      <c r="D172" s="13"/>
      <c r="E172" s="13"/>
      <c r="F172" s="13"/>
      <c r="G172" s="13"/>
      <c r="H172" s="13"/>
      <c r="I172" s="13"/>
      <c r="J172" s="13"/>
      <c r="K172" s="13"/>
      <c r="L172" s="13"/>
      <c r="M172" s="13"/>
    </row>
    <row r="173" spans="1:13" ht="12.75">
      <c r="A173" s="188">
        <v>170</v>
      </c>
      <c r="B173" s="13"/>
      <c r="C173" s="13"/>
      <c r="D173" s="13"/>
      <c r="E173" s="13"/>
      <c r="F173" s="13"/>
      <c r="G173" s="13"/>
      <c r="H173" s="13"/>
      <c r="I173" s="13"/>
      <c r="J173" s="13"/>
      <c r="K173" s="13"/>
      <c r="L173" s="13"/>
      <c r="M173" s="13"/>
    </row>
    <row r="174" spans="1:13" ht="12.75">
      <c r="A174" s="188">
        <v>171</v>
      </c>
      <c r="B174" s="13"/>
      <c r="C174" s="13"/>
      <c r="D174" s="13"/>
      <c r="E174" s="13"/>
      <c r="F174" s="13"/>
      <c r="G174" s="13"/>
      <c r="H174" s="13"/>
      <c r="I174" s="13"/>
      <c r="J174" s="13"/>
      <c r="K174" s="13"/>
      <c r="L174" s="13"/>
      <c r="M174" s="13"/>
    </row>
    <row r="175" spans="1:13" ht="12.75">
      <c r="A175" s="188">
        <v>172</v>
      </c>
      <c r="B175" s="13"/>
      <c r="C175" s="13"/>
      <c r="D175" s="13"/>
      <c r="E175" s="13"/>
      <c r="F175" s="13"/>
      <c r="G175" s="13"/>
      <c r="H175" s="13"/>
      <c r="I175" s="13"/>
      <c r="J175" s="13"/>
      <c r="K175" s="13"/>
      <c r="L175" s="13"/>
      <c r="M175" s="13"/>
    </row>
    <row r="176" spans="1:13" ht="12.75">
      <c r="A176" s="188">
        <v>173</v>
      </c>
      <c r="B176" s="13"/>
      <c r="C176" s="13"/>
      <c r="D176" s="13"/>
      <c r="E176" s="13"/>
      <c r="F176" s="13"/>
      <c r="G176" s="13"/>
      <c r="H176" s="13"/>
      <c r="I176" s="13"/>
      <c r="J176" s="13"/>
      <c r="K176" s="13"/>
      <c r="L176" s="13"/>
      <c r="M176" s="13"/>
    </row>
    <row r="177" spans="1:13" ht="12.75">
      <c r="A177" s="188">
        <v>174</v>
      </c>
      <c r="B177" s="13"/>
      <c r="C177" s="13"/>
      <c r="D177" s="13"/>
      <c r="E177" s="13"/>
      <c r="F177" s="13"/>
      <c r="G177" s="13"/>
      <c r="H177" s="13"/>
      <c r="I177" s="13"/>
      <c r="J177" s="13"/>
      <c r="K177" s="13"/>
      <c r="L177" s="13"/>
      <c r="M177" s="13"/>
    </row>
    <row r="178" spans="1:13" ht="12.75">
      <c r="A178" s="188">
        <v>175</v>
      </c>
      <c r="B178" s="13"/>
      <c r="C178" s="13"/>
      <c r="D178" s="13"/>
      <c r="E178" s="13"/>
      <c r="F178" s="13"/>
      <c r="G178" s="13"/>
      <c r="H178" s="13"/>
      <c r="I178" s="13"/>
      <c r="J178" s="13"/>
      <c r="K178" s="13"/>
      <c r="L178" s="13"/>
      <c r="M178" s="13"/>
    </row>
    <row r="179" spans="1:13" ht="12.75">
      <c r="A179" s="188">
        <v>176</v>
      </c>
      <c r="B179" s="13"/>
      <c r="C179" s="13"/>
      <c r="D179" s="13"/>
      <c r="E179" s="13"/>
      <c r="F179" s="13"/>
      <c r="G179" s="13"/>
      <c r="H179" s="13"/>
      <c r="I179" s="13"/>
      <c r="J179" s="13"/>
      <c r="K179" s="13"/>
      <c r="L179" s="13"/>
      <c r="M179" s="13"/>
    </row>
    <row r="180" spans="1:13" ht="12.75">
      <c r="A180" s="188">
        <v>177</v>
      </c>
      <c r="B180" s="13"/>
      <c r="C180" s="13"/>
      <c r="D180" s="13"/>
      <c r="E180" s="13"/>
      <c r="F180" s="13"/>
      <c r="G180" s="13"/>
      <c r="H180" s="13"/>
      <c r="I180" s="13"/>
      <c r="J180" s="13"/>
      <c r="K180" s="13"/>
      <c r="L180" s="13"/>
      <c r="M180" s="13"/>
    </row>
    <row r="181" spans="1:13" ht="12.75">
      <c r="A181" s="188">
        <v>178</v>
      </c>
      <c r="B181" s="13"/>
      <c r="C181" s="13"/>
      <c r="D181" s="13"/>
      <c r="E181" s="13"/>
      <c r="F181" s="13"/>
      <c r="G181" s="13"/>
      <c r="H181" s="13"/>
      <c r="I181" s="13"/>
      <c r="J181" s="13"/>
      <c r="K181" s="13"/>
      <c r="L181" s="13"/>
      <c r="M181" s="13"/>
    </row>
    <row r="182" spans="1:13" ht="12.75">
      <c r="A182" s="188">
        <v>179</v>
      </c>
      <c r="B182" s="13"/>
      <c r="C182" s="13"/>
      <c r="D182" s="13"/>
      <c r="E182" s="13"/>
      <c r="F182" s="13"/>
      <c r="G182" s="13"/>
      <c r="H182" s="13"/>
      <c r="I182" s="13"/>
      <c r="J182" s="13"/>
      <c r="K182" s="13"/>
      <c r="L182" s="13"/>
      <c r="M182" s="13"/>
    </row>
    <row r="183" spans="1:13" ht="12.75">
      <c r="A183" s="188">
        <v>180</v>
      </c>
      <c r="B183" s="13"/>
      <c r="C183" s="13"/>
      <c r="D183" s="13"/>
      <c r="E183" s="13"/>
      <c r="F183" s="13"/>
      <c r="G183" s="13"/>
      <c r="H183" s="13"/>
      <c r="I183" s="13"/>
      <c r="J183" s="13"/>
      <c r="K183" s="13"/>
      <c r="L183" s="13"/>
      <c r="M183" s="13"/>
    </row>
    <row r="184" spans="1:13" ht="12.75">
      <c r="A184" s="188">
        <v>181</v>
      </c>
      <c r="B184" s="13"/>
      <c r="C184" s="13"/>
      <c r="D184" s="13"/>
      <c r="E184" s="13"/>
      <c r="F184" s="13"/>
      <c r="G184" s="13"/>
      <c r="H184" s="13"/>
      <c r="I184" s="13"/>
      <c r="J184" s="13"/>
      <c r="K184" s="13"/>
      <c r="L184" s="13"/>
      <c r="M184" s="13"/>
    </row>
    <row r="185" spans="1:13" ht="12.75">
      <c r="A185" s="188">
        <v>182</v>
      </c>
      <c r="B185" s="13"/>
      <c r="C185" s="13"/>
      <c r="D185" s="13"/>
      <c r="E185" s="13"/>
      <c r="F185" s="13"/>
      <c r="G185" s="13"/>
      <c r="H185" s="13"/>
      <c r="I185" s="13"/>
      <c r="J185" s="13"/>
      <c r="K185" s="13"/>
      <c r="L185" s="13"/>
      <c r="M185" s="13"/>
    </row>
    <row r="186" spans="1:13" ht="12.75">
      <c r="A186" s="188">
        <v>183</v>
      </c>
      <c r="B186" s="13"/>
      <c r="C186" s="13"/>
      <c r="D186" s="13"/>
      <c r="E186" s="13"/>
      <c r="F186" s="13"/>
      <c r="G186" s="13"/>
      <c r="H186" s="13"/>
      <c r="I186" s="13"/>
      <c r="J186" s="13"/>
      <c r="K186" s="13"/>
      <c r="L186" s="13"/>
      <c r="M186" s="13"/>
    </row>
    <row r="187" spans="1:13" ht="12.75">
      <c r="A187" s="188">
        <v>184</v>
      </c>
      <c r="B187" s="13"/>
      <c r="C187" s="13"/>
      <c r="D187" s="13"/>
      <c r="E187" s="13"/>
      <c r="F187" s="13"/>
      <c r="G187" s="13"/>
      <c r="H187" s="13"/>
      <c r="I187" s="13"/>
      <c r="J187" s="13"/>
      <c r="K187" s="13"/>
      <c r="L187" s="13"/>
      <c r="M187" s="13"/>
    </row>
    <row r="188" spans="1:13" ht="12.75">
      <c r="A188" s="188">
        <v>185</v>
      </c>
      <c r="B188" s="13"/>
      <c r="C188" s="13"/>
      <c r="D188" s="13"/>
      <c r="E188" s="13"/>
      <c r="F188" s="13"/>
      <c r="G188" s="13"/>
      <c r="H188" s="13"/>
      <c r="I188" s="13"/>
      <c r="J188" s="13"/>
      <c r="K188" s="13"/>
      <c r="L188" s="13"/>
      <c r="M188" s="13"/>
    </row>
    <row r="189" spans="1:13" ht="12.75">
      <c r="A189" s="188">
        <v>186</v>
      </c>
      <c r="B189" s="13"/>
      <c r="C189" s="13"/>
      <c r="D189" s="13"/>
      <c r="E189" s="13"/>
      <c r="F189" s="13"/>
      <c r="G189" s="13"/>
      <c r="H189" s="13"/>
      <c r="I189" s="13"/>
      <c r="J189" s="13"/>
      <c r="K189" s="13"/>
      <c r="L189" s="13"/>
      <c r="M189" s="13"/>
    </row>
    <row r="190" spans="1:13" ht="12.75">
      <c r="A190" s="188">
        <v>187</v>
      </c>
      <c r="B190" s="13"/>
      <c r="C190" s="13"/>
      <c r="D190" s="13"/>
      <c r="E190" s="13"/>
      <c r="F190" s="13"/>
      <c r="G190" s="13"/>
      <c r="H190" s="13"/>
      <c r="I190" s="13"/>
      <c r="J190" s="13"/>
      <c r="K190" s="13"/>
      <c r="L190" s="13"/>
      <c r="M190" s="13"/>
    </row>
    <row r="191" spans="1:13" ht="12.75">
      <c r="A191" s="188">
        <v>188</v>
      </c>
      <c r="B191" s="13"/>
      <c r="C191" s="13"/>
      <c r="D191" s="13"/>
      <c r="E191" s="13"/>
      <c r="F191" s="13"/>
      <c r="G191" s="13"/>
      <c r="H191" s="13"/>
      <c r="I191" s="13"/>
      <c r="J191" s="13"/>
      <c r="K191" s="13"/>
      <c r="L191" s="13"/>
      <c r="M191" s="13"/>
    </row>
    <row r="192" spans="1:13" ht="12.75">
      <c r="A192" s="188">
        <v>189</v>
      </c>
      <c r="B192" s="13"/>
      <c r="C192" s="13"/>
      <c r="D192" s="13"/>
      <c r="E192" s="13"/>
      <c r="F192" s="13"/>
      <c r="G192" s="13"/>
      <c r="H192" s="13"/>
      <c r="I192" s="13"/>
      <c r="J192" s="13"/>
      <c r="K192" s="13"/>
      <c r="L192" s="13"/>
      <c r="M192" s="13"/>
    </row>
    <row r="193" spans="1:13" ht="12.75">
      <c r="A193" s="188">
        <v>190</v>
      </c>
      <c r="B193" s="13"/>
      <c r="C193" s="13"/>
      <c r="D193" s="13"/>
      <c r="E193" s="13"/>
      <c r="F193" s="13"/>
      <c r="G193" s="13"/>
      <c r="H193" s="13"/>
      <c r="I193" s="13"/>
      <c r="J193" s="13"/>
      <c r="K193" s="13"/>
      <c r="L193" s="13"/>
      <c r="M193" s="13"/>
    </row>
    <row r="194" spans="1:13" ht="12.75">
      <c r="A194" s="188">
        <v>191</v>
      </c>
      <c r="B194" s="13"/>
      <c r="C194" s="13"/>
      <c r="D194" s="13"/>
      <c r="E194" s="13"/>
      <c r="F194" s="13"/>
      <c r="G194" s="13"/>
      <c r="H194" s="13"/>
      <c r="I194" s="13"/>
      <c r="J194" s="13"/>
      <c r="K194" s="13"/>
      <c r="L194" s="13"/>
      <c r="M194" s="13"/>
    </row>
    <row r="195" spans="1:13" ht="12.75">
      <c r="A195" s="188">
        <v>192</v>
      </c>
      <c r="B195" s="13"/>
      <c r="C195" s="13"/>
      <c r="D195" s="13"/>
      <c r="E195" s="13"/>
      <c r="F195" s="13"/>
      <c r="G195" s="13"/>
      <c r="H195" s="13"/>
      <c r="I195" s="13"/>
      <c r="J195" s="13"/>
      <c r="K195" s="13"/>
      <c r="L195" s="13"/>
      <c r="M195" s="13"/>
    </row>
    <row r="196" spans="1:13" ht="12.75">
      <c r="A196" s="188">
        <v>193</v>
      </c>
      <c r="B196" s="13"/>
      <c r="C196" s="13"/>
      <c r="D196" s="13"/>
      <c r="E196" s="13"/>
      <c r="F196" s="13"/>
      <c r="G196" s="13"/>
      <c r="H196" s="13"/>
      <c r="I196" s="13"/>
      <c r="J196" s="13"/>
      <c r="K196" s="13"/>
      <c r="L196" s="13"/>
      <c r="M196" s="13"/>
    </row>
    <row r="197" spans="1:13" ht="12.75">
      <c r="A197" s="188">
        <v>194</v>
      </c>
      <c r="B197" s="13"/>
      <c r="C197" s="13"/>
      <c r="D197" s="13"/>
      <c r="E197" s="13"/>
      <c r="F197" s="13"/>
      <c r="G197" s="13"/>
      <c r="H197" s="13"/>
      <c r="I197" s="13"/>
      <c r="J197" s="13"/>
      <c r="K197" s="13"/>
      <c r="L197" s="13"/>
      <c r="M197" s="13"/>
    </row>
    <row r="198" spans="1:13" ht="12.75">
      <c r="A198" s="188">
        <v>195</v>
      </c>
      <c r="B198" s="13"/>
      <c r="C198" s="13"/>
      <c r="D198" s="13"/>
      <c r="E198" s="13"/>
      <c r="F198" s="13"/>
      <c r="G198" s="13"/>
      <c r="H198" s="13"/>
      <c r="I198" s="13"/>
      <c r="J198" s="13"/>
      <c r="K198" s="13"/>
      <c r="L198" s="13"/>
      <c r="M198" s="13"/>
    </row>
    <row r="199" spans="1:13" ht="12.75">
      <c r="A199" s="188">
        <v>196</v>
      </c>
      <c r="B199" s="13"/>
      <c r="C199" s="13"/>
      <c r="D199" s="13"/>
      <c r="E199" s="13"/>
      <c r="F199" s="13"/>
      <c r="G199" s="13"/>
      <c r="H199" s="13"/>
      <c r="I199" s="13"/>
      <c r="J199" s="13"/>
      <c r="K199" s="13"/>
      <c r="L199" s="13"/>
      <c r="M199" s="13"/>
    </row>
    <row r="200" spans="1:13" ht="12.75">
      <c r="A200" s="188">
        <v>197</v>
      </c>
      <c r="B200" s="13"/>
      <c r="C200" s="13"/>
      <c r="D200" s="13"/>
      <c r="E200" s="13"/>
      <c r="F200" s="13"/>
      <c r="G200" s="13"/>
      <c r="H200" s="13"/>
      <c r="I200" s="13"/>
      <c r="J200" s="13"/>
      <c r="K200" s="13"/>
      <c r="L200" s="13"/>
      <c r="M200" s="13"/>
    </row>
    <row r="201" spans="1:13" ht="12.75">
      <c r="A201" s="188">
        <v>198</v>
      </c>
      <c r="B201" s="13"/>
      <c r="C201" s="13"/>
      <c r="D201" s="13"/>
      <c r="E201" s="13"/>
      <c r="F201" s="13"/>
      <c r="G201" s="13"/>
      <c r="H201" s="13"/>
      <c r="I201" s="13"/>
      <c r="J201" s="13"/>
      <c r="K201" s="13"/>
      <c r="L201" s="13"/>
      <c r="M201" s="13"/>
    </row>
    <row r="202" spans="1:13" ht="12.75">
      <c r="A202" s="188">
        <v>199</v>
      </c>
      <c r="B202" s="13"/>
      <c r="C202" s="13"/>
      <c r="D202" s="13"/>
      <c r="E202" s="13"/>
      <c r="F202" s="13"/>
      <c r="G202" s="13"/>
      <c r="H202" s="13"/>
      <c r="I202" s="13"/>
      <c r="J202" s="13"/>
      <c r="K202" s="13"/>
      <c r="L202" s="13"/>
      <c r="M202" s="13"/>
    </row>
    <row r="203" spans="1:13" ht="12.75">
      <c r="A203" s="188">
        <v>200</v>
      </c>
      <c r="B203" s="13"/>
      <c r="C203" s="13"/>
      <c r="D203" s="13"/>
      <c r="E203" s="13"/>
      <c r="F203" s="13"/>
      <c r="G203" s="13"/>
      <c r="H203" s="13"/>
      <c r="I203" s="13"/>
      <c r="J203" s="13"/>
      <c r="K203" s="13"/>
      <c r="L203" s="13"/>
      <c r="M203" s="13"/>
    </row>
    <row r="204" spans="1:13" ht="12.75">
      <c r="A204" s="188">
        <v>201</v>
      </c>
      <c r="B204" s="13"/>
      <c r="C204" s="13"/>
      <c r="D204" s="13"/>
      <c r="E204" s="13"/>
      <c r="F204" s="13"/>
      <c r="G204" s="13"/>
      <c r="H204" s="13"/>
      <c r="I204" s="13"/>
      <c r="J204" s="13"/>
      <c r="K204" s="13"/>
      <c r="L204" s="13"/>
      <c r="M204" s="13"/>
    </row>
    <row r="205" spans="1:13" ht="12.75">
      <c r="A205" s="188">
        <v>202</v>
      </c>
      <c r="B205" s="13"/>
      <c r="C205" s="13"/>
      <c r="D205" s="13"/>
      <c r="E205" s="13"/>
      <c r="F205" s="13"/>
      <c r="G205" s="13"/>
      <c r="H205" s="13"/>
      <c r="I205" s="13"/>
      <c r="J205" s="13"/>
      <c r="K205" s="13"/>
      <c r="L205" s="13"/>
      <c r="M205" s="13"/>
    </row>
    <row r="206" spans="1:13" ht="12.75">
      <c r="A206" s="188">
        <v>203</v>
      </c>
      <c r="B206" s="13"/>
      <c r="C206" s="13"/>
      <c r="D206" s="13"/>
      <c r="E206" s="13"/>
      <c r="F206" s="13"/>
      <c r="G206" s="13"/>
      <c r="H206" s="13"/>
      <c r="I206" s="13"/>
      <c r="J206" s="13"/>
      <c r="K206" s="13"/>
      <c r="L206" s="13"/>
      <c r="M206" s="13"/>
    </row>
    <row r="207" spans="1:13" ht="12.75">
      <c r="A207" s="188">
        <v>204</v>
      </c>
      <c r="B207" s="13"/>
      <c r="C207" s="13"/>
      <c r="D207" s="13"/>
      <c r="E207" s="13"/>
      <c r="F207" s="13"/>
      <c r="G207" s="13"/>
      <c r="H207" s="13"/>
      <c r="I207" s="13"/>
      <c r="J207" s="13"/>
      <c r="K207" s="13"/>
      <c r="L207" s="13"/>
      <c r="M207" s="13"/>
    </row>
    <row r="208" spans="1:13" ht="12.75">
      <c r="A208" s="188">
        <v>205</v>
      </c>
      <c r="B208" s="13"/>
      <c r="C208" s="13"/>
      <c r="D208" s="13"/>
      <c r="E208" s="13"/>
      <c r="F208" s="13"/>
      <c r="G208" s="13"/>
      <c r="H208" s="13"/>
      <c r="I208" s="13"/>
      <c r="J208" s="13"/>
      <c r="K208" s="13"/>
      <c r="L208" s="13"/>
      <c r="M208" s="13"/>
    </row>
    <row r="209" spans="1:13" ht="12.75">
      <c r="A209" s="188">
        <v>206</v>
      </c>
      <c r="B209" s="13"/>
      <c r="C209" s="13"/>
      <c r="D209" s="13"/>
      <c r="E209" s="13"/>
      <c r="F209" s="13"/>
      <c r="G209" s="13"/>
      <c r="H209" s="13"/>
      <c r="I209" s="13"/>
      <c r="J209" s="13"/>
      <c r="K209" s="13"/>
      <c r="L209" s="13"/>
      <c r="M209" s="13"/>
    </row>
    <row r="210" spans="1:13" ht="12.75">
      <c r="A210" s="188">
        <v>207</v>
      </c>
      <c r="B210" s="13"/>
      <c r="C210" s="13"/>
      <c r="D210" s="13"/>
      <c r="E210" s="13"/>
      <c r="F210" s="13"/>
      <c r="G210" s="13"/>
      <c r="H210" s="13"/>
      <c r="I210" s="13"/>
      <c r="J210" s="13"/>
      <c r="K210" s="13"/>
      <c r="L210" s="13"/>
      <c r="M210" s="13"/>
    </row>
    <row r="211" spans="1:13" ht="12.75">
      <c r="A211" s="188">
        <v>208</v>
      </c>
      <c r="B211" s="13"/>
      <c r="C211" s="13"/>
      <c r="D211" s="13"/>
      <c r="E211" s="13"/>
      <c r="F211" s="13"/>
      <c r="G211" s="13"/>
      <c r="H211" s="13"/>
      <c r="I211" s="13"/>
      <c r="J211" s="13"/>
      <c r="K211" s="13"/>
      <c r="L211" s="13"/>
      <c r="M211" s="13"/>
    </row>
    <row r="212" spans="1:13" ht="12.75">
      <c r="A212" s="188">
        <v>209</v>
      </c>
      <c r="B212" s="13"/>
      <c r="C212" s="13"/>
      <c r="D212" s="13"/>
      <c r="E212" s="13"/>
      <c r="F212" s="13"/>
      <c r="G212" s="13"/>
      <c r="H212" s="13"/>
      <c r="I212" s="13"/>
      <c r="J212" s="13"/>
      <c r="K212" s="13"/>
      <c r="L212" s="13"/>
      <c r="M212" s="13"/>
    </row>
    <row r="213" spans="1:13" ht="12.75">
      <c r="A213" s="188">
        <v>210</v>
      </c>
      <c r="B213" s="13"/>
      <c r="C213" s="13"/>
      <c r="D213" s="13"/>
      <c r="E213" s="13"/>
      <c r="F213" s="13"/>
      <c r="G213" s="13"/>
      <c r="H213" s="13"/>
      <c r="I213" s="13"/>
      <c r="J213" s="13"/>
      <c r="K213" s="13"/>
      <c r="L213" s="13"/>
      <c r="M213" s="13"/>
    </row>
    <row r="214" spans="1:13" ht="12.75">
      <c r="A214" s="188">
        <v>211</v>
      </c>
      <c r="B214" s="13"/>
      <c r="C214" s="13"/>
      <c r="D214" s="13"/>
      <c r="E214" s="13"/>
      <c r="F214" s="13"/>
      <c r="G214" s="13"/>
      <c r="H214" s="13"/>
      <c r="I214" s="13"/>
      <c r="J214" s="13"/>
      <c r="K214" s="13"/>
      <c r="L214" s="13"/>
      <c r="M214" s="13"/>
    </row>
    <row r="215" spans="1:13" ht="12.75">
      <c r="A215" s="188">
        <v>212</v>
      </c>
      <c r="B215" s="13"/>
      <c r="C215" s="13"/>
      <c r="D215" s="13"/>
      <c r="E215" s="13"/>
      <c r="F215" s="13"/>
      <c r="G215" s="13"/>
      <c r="H215" s="13"/>
      <c r="I215" s="13"/>
      <c r="J215" s="13"/>
      <c r="K215" s="13"/>
      <c r="L215" s="13"/>
      <c r="M215" s="13"/>
    </row>
    <row r="216" spans="1:13" ht="12.75">
      <c r="A216" s="188">
        <v>213</v>
      </c>
      <c r="B216" s="13"/>
      <c r="C216" s="13"/>
      <c r="D216" s="13"/>
      <c r="E216" s="13"/>
      <c r="F216" s="13"/>
      <c r="G216" s="13"/>
      <c r="H216" s="13"/>
      <c r="I216" s="13"/>
      <c r="J216" s="13"/>
      <c r="K216" s="13"/>
      <c r="L216" s="13"/>
      <c r="M216" s="13"/>
    </row>
    <row r="217" spans="1:13" ht="12.75">
      <c r="A217" s="188">
        <v>214</v>
      </c>
      <c r="B217" s="13"/>
      <c r="C217" s="13"/>
      <c r="D217" s="13"/>
      <c r="E217" s="13"/>
      <c r="F217" s="13"/>
      <c r="G217" s="13"/>
      <c r="H217" s="13"/>
      <c r="I217" s="13"/>
      <c r="J217" s="13"/>
      <c r="K217" s="13"/>
      <c r="L217" s="13"/>
      <c r="M217" s="13"/>
    </row>
    <row r="218" spans="1:13" ht="12.75">
      <c r="A218" s="188">
        <v>215</v>
      </c>
      <c r="B218" s="13"/>
      <c r="C218" s="13"/>
      <c r="D218" s="13"/>
      <c r="E218" s="13"/>
      <c r="F218" s="13"/>
      <c r="G218" s="13"/>
      <c r="H218" s="13"/>
      <c r="I218" s="13"/>
      <c r="J218" s="13"/>
      <c r="K218" s="13"/>
      <c r="L218" s="13"/>
      <c r="M218" s="13"/>
    </row>
    <row r="219" spans="1:13" ht="12.75">
      <c r="A219" s="188">
        <v>216</v>
      </c>
      <c r="B219" s="13"/>
      <c r="C219" s="13"/>
      <c r="D219" s="13"/>
      <c r="E219" s="13"/>
      <c r="F219" s="13"/>
      <c r="G219" s="13"/>
      <c r="H219" s="13"/>
      <c r="I219" s="13"/>
      <c r="J219" s="13"/>
      <c r="K219" s="13"/>
      <c r="L219" s="13"/>
      <c r="M219" s="13"/>
    </row>
    <row r="220" spans="1:13" ht="12.75">
      <c r="A220" s="188">
        <v>217</v>
      </c>
      <c r="B220" s="13"/>
      <c r="C220" s="13"/>
      <c r="D220" s="13"/>
      <c r="E220" s="13"/>
      <c r="F220" s="13"/>
      <c r="G220" s="13"/>
      <c r="H220" s="13"/>
      <c r="I220" s="13"/>
      <c r="J220" s="13"/>
      <c r="K220" s="13"/>
      <c r="L220" s="13"/>
      <c r="M220" s="13"/>
    </row>
    <row r="221" spans="1:13" ht="12.75">
      <c r="A221" s="188">
        <v>218</v>
      </c>
      <c r="B221" s="13"/>
      <c r="C221" s="13"/>
      <c r="D221" s="13"/>
      <c r="E221" s="13"/>
      <c r="F221" s="13"/>
      <c r="G221" s="13"/>
      <c r="H221" s="13"/>
      <c r="I221" s="13"/>
      <c r="J221" s="13"/>
      <c r="K221" s="13"/>
      <c r="L221" s="13"/>
      <c r="M221" s="13"/>
    </row>
    <row r="222" spans="1:13" ht="12.75">
      <c r="A222" s="188">
        <v>219</v>
      </c>
      <c r="B222" s="13"/>
      <c r="C222" s="13"/>
      <c r="D222" s="13"/>
      <c r="E222" s="13"/>
      <c r="F222" s="13"/>
      <c r="G222" s="13"/>
      <c r="H222" s="13"/>
      <c r="I222" s="13"/>
      <c r="J222" s="13"/>
      <c r="K222" s="13"/>
      <c r="L222" s="13"/>
      <c r="M222" s="13"/>
    </row>
    <row r="223" spans="1:13" ht="12.75">
      <c r="A223" s="188">
        <v>220</v>
      </c>
      <c r="B223" s="13"/>
      <c r="C223" s="13"/>
      <c r="D223" s="13"/>
      <c r="E223" s="13"/>
      <c r="F223" s="13"/>
      <c r="G223" s="13"/>
      <c r="H223" s="13"/>
      <c r="I223" s="13"/>
      <c r="J223" s="13"/>
      <c r="K223" s="13"/>
      <c r="L223" s="13"/>
      <c r="M223" s="13"/>
    </row>
    <row r="224" spans="1:13" ht="12.75">
      <c r="A224" s="188">
        <v>221</v>
      </c>
      <c r="B224" s="13"/>
      <c r="C224" s="13"/>
      <c r="D224" s="13"/>
      <c r="E224" s="13"/>
      <c r="F224" s="13"/>
      <c r="G224" s="13"/>
      <c r="H224" s="13"/>
      <c r="I224" s="13"/>
      <c r="J224" s="13"/>
      <c r="K224" s="13"/>
      <c r="L224" s="13"/>
      <c r="M224" s="13"/>
    </row>
    <row r="225" spans="1:13" ht="12.75">
      <c r="A225" s="188">
        <v>222</v>
      </c>
      <c r="B225" s="13"/>
      <c r="C225" s="13"/>
      <c r="D225" s="13"/>
      <c r="E225" s="13"/>
      <c r="F225" s="13"/>
      <c r="G225" s="13"/>
      <c r="H225" s="13"/>
      <c r="I225" s="13"/>
      <c r="J225" s="13"/>
      <c r="K225" s="13"/>
      <c r="L225" s="13"/>
      <c r="M225" s="13"/>
    </row>
    <row r="226" spans="1:13" ht="12.75">
      <c r="A226" s="188">
        <v>223</v>
      </c>
      <c r="B226" s="13"/>
      <c r="C226" s="13"/>
      <c r="D226" s="13"/>
      <c r="E226" s="13"/>
      <c r="F226" s="13"/>
      <c r="G226" s="13"/>
      <c r="H226" s="13"/>
      <c r="I226" s="13"/>
      <c r="J226" s="13"/>
      <c r="K226" s="13"/>
      <c r="L226" s="13"/>
      <c r="M226" s="13"/>
    </row>
    <row r="227" spans="1:13" ht="12.75">
      <c r="A227" s="188">
        <v>224</v>
      </c>
      <c r="B227" s="13"/>
      <c r="C227" s="13"/>
      <c r="D227" s="13"/>
      <c r="E227" s="13"/>
      <c r="F227" s="13"/>
      <c r="G227" s="13"/>
      <c r="H227" s="13"/>
      <c r="I227" s="13"/>
      <c r="J227" s="13"/>
      <c r="K227" s="13"/>
      <c r="L227" s="13"/>
      <c r="M227" s="13"/>
    </row>
    <row r="228" spans="1:13" ht="12.75">
      <c r="A228" s="188">
        <v>225</v>
      </c>
      <c r="B228" s="13"/>
      <c r="C228" s="13"/>
      <c r="D228" s="13"/>
      <c r="E228" s="13"/>
      <c r="F228" s="13"/>
      <c r="G228" s="13"/>
      <c r="H228" s="13"/>
      <c r="I228" s="13"/>
      <c r="J228" s="13"/>
      <c r="K228" s="13"/>
      <c r="L228" s="13"/>
      <c r="M228" s="13"/>
    </row>
    <row r="229" spans="1:13" ht="12.75">
      <c r="A229" s="188">
        <v>226</v>
      </c>
      <c r="B229" s="13"/>
      <c r="C229" s="13"/>
      <c r="D229" s="13"/>
      <c r="E229" s="13"/>
      <c r="F229" s="13"/>
      <c r="G229" s="13"/>
      <c r="H229" s="13"/>
      <c r="I229" s="13"/>
      <c r="J229" s="13"/>
      <c r="K229" s="13"/>
      <c r="L229" s="13"/>
      <c r="M229" s="13"/>
    </row>
    <row r="230" spans="1:13" ht="12.75">
      <c r="A230" s="188">
        <v>227</v>
      </c>
      <c r="B230" s="13"/>
      <c r="C230" s="13"/>
      <c r="D230" s="13"/>
      <c r="E230" s="13"/>
      <c r="F230" s="13"/>
      <c r="G230" s="13"/>
      <c r="H230" s="13"/>
      <c r="I230" s="13"/>
      <c r="J230" s="13"/>
      <c r="K230" s="13"/>
      <c r="L230" s="13"/>
      <c r="M230" s="13"/>
    </row>
    <row r="231" spans="1:13" ht="12.75">
      <c r="A231" s="188">
        <v>228</v>
      </c>
      <c r="B231" s="13"/>
      <c r="C231" s="13"/>
      <c r="D231" s="13"/>
      <c r="E231" s="13"/>
      <c r="F231" s="13"/>
      <c r="G231" s="13"/>
      <c r="H231" s="13"/>
      <c r="I231" s="13"/>
      <c r="J231" s="13"/>
      <c r="K231" s="13"/>
      <c r="L231" s="13"/>
      <c r="M231" s="13"/>
    </row>
    <row r="232" spans="1:13" ht="12.75">
      <c r="A232" s="188">
        <v>229</v>
      </c>
      <c r="B232" s="13"/>
      <c r="C232" s="13"/>
      <c r="D232" s="13"/>
      <c r="E232" s="13"/>
      <c r="F232" s="13"/>
      <c r="G232" s="13"/>
      <c r="H232" s="13"/>
      <c r="I232" s="13"/>
      <c r="J232" s="13"/>
      <c r="K232" s="13"/>
      <c r="L232" s="13"/>
      <c r="M232" s="13"/>
    </row>
    <row r="233" spans="1:13" ht="12.75">
      <c r="A233" s="188">
        <v>230</v>
      </c>
      <c r="B233" s="13"/>
      <c r="C233" s="13"/>
      <c r="D233" s="13"/>
      <c r="E233" s="13"/>
      <c r="F233" s="13"/>
      <c r="G233" s="13"/>
      <c r="H233" s="13"/>
      <c r="I233" s="13"/>
      <c r="J233" s="13"/>
      <c r="K233" s="13"/>
      <c r="L233" s="13"/>
      <c r="M233" s="13"/>
    </row>
    <row r="234" spans="1:13" ht="12.75">
      <c r="A234" s="188">
        <v>231</v>
      </c>
      <c r="B234" s="13"/>
      <c r="C234" s="13"/>
      <c r="D234" s="13"/>
      <c r="E234" s="13"/>
      <c r="F234" s="13"/>
      <c r="G234" s="13"/>
      <c r="H234" s="13"/>
      <c r="I234" s="13"/>
      <c r="J234" s="13"/>
      <c r="K234" s="13"/>
      <c r="L234" s="13"/>
      <c r="M234" s="13"/>
    </row>
    <row r="235" spans="1:13" ht="12.75">
      <c r="A235" s="188">
        <v>232</v>
      </c>
      <c r="B235" s="13"/>
      <c r="C235" s="13"/>
      <c r="D235" s="13"/>
      <c r="E235" s="13"/>
      <c r="F235" s="13"/>
      <c r="G235" s="13"/>
      <c r="H235" s="13"/>
      <c r="I235" s="13"/>
      <c r="J235" s="13"/>
      <c r="K235" s="13"/>
      <c r="L235" s="13"/>
      <c r="M235" s="13"/>
    </row>
    <row r="236" spans="1:13" ht="12.75">
      <c r="A236" s="188">
        <v>233</v>
      </c>
      <c r="B236" s="13"/>
      <c r="C236" s="13"/>
      <c r="D236" s="13"/>
      <c r="E236" s="13"/>
      <c r="F236" s="13"/>
      <c r="G236" s="13"/>
      <c r="H236" s="13"/>
      <c r="I236" s="13"/>
      <c r="J236" s="13"/>
      <c r="K236" s="13"/>
      <c r="L236" s="13"/>
      <c r="M236" s="13"/>
    </row>
    <row r="237" spans="1:13" ht="12.75">
      <c r="A237" s="188">
        <v>234</v>
      </c>
      <c r="B237" s="13"/>
      <c r="C237" s="13"/>
      <c r="D237" s="13"/>
      <c r="E237" s="13"/>
      <c r="F237" s="13"/>
      <c r="G237" s="13"/>
      <c r="H237" s="13"/>
      <c r="I237" s="13"/>
      <c r="J237" s="13"/>
      <c r="K237" s="13"/>
      <c r="L237" s="13"/>
      <c r="M237" s="13"/>
    </row>
    <row r="238" spans="1:13" ht="12.75">
      <c r="A238" s="188">
        <v>235</v>
      </c>
      <c r="B238" s="13"/>
      <c r="C238" s="13"/>
      <c r="D238" s="13"/>
      <c r="E238" s="13"/>
      <c r="F238" s="13"/>
      <c r="G238" s="13"/>
      <c r="H238" s="13"/>
      <c r="I238" s="13"/>
      <c r="J238" s="13"/>
      <c r="K238" s="13"/>
      <c r="L238" s="13"/>
      <c r="M238" s="13"/>
    </row>
    <row r="239" spans="1:13" ht="12.75">
      <c r="A239" s="188">
        <v>236</v>
      </c>
      <c r="B239" s="13"/>
      <c r="C239" s="13"/>
      <c r="D239" s="13"/>
      <c r="E239" s="13"/>
      <c r="F239" s="13"/>
      <c r="G239" s="13"/>
      <c r="H239" s="13"/>
      <c r="I239" s="13"/>
      <c r="J239" s="13"/>
      <c r="K239" s="13"/>
      <c r="L239" s="13"/>
      <c r="M239" s="13"/>
    </row>
    <row r="240" spans="1:13" ht="12.75">
      <c r="A240" s="188">
        <v>237</v>
      </c>
      <c r="B240" s="13"/>
      <c r="C240" s="13"/>
      <c r="D240" s="13"/>
      <c r="E240" s="13"/>
      <c r="F240" s="13"/>
      <c r="G240" s="13"/>
      <c r="H240" s="13"/>
      <c r="I240" s="13"/>
      <c r="J240" s="13"/>
      <c r="K240" s="13"/>
      <c r="L240" s="13"/>
      <c r="M240" s="13"/>
    </row>
    <row r="241" spans="1:13" ht="12.75">
      <c r="A241" s="188">
        <v>238</v>
      </c>
      <c r="B241" s="13"/>
      <c r="C241" s="13"/>
      <c r="D241" s="13"/>
      <c r="E241" s="13"/>
      <c r="F241" s="13"/>
      <c r="G241" s="13"/>
      <c r="H241" s="13"/>
      <c r="I241" s="13"/>
      <c r="J241" s="13"/>
      <c r="K241" s="13"/>
      <c r="L241" s="13"/>
      <c r="M241" s="13"/>
    </row>
    <row r="242" spans="1:13" ht="12.75">
      <c r="A242" s="188">
        <v>239</v>
      </c>
      <c r="B242" s="13"/>
      <c r="C242" s="13"/>
      <c r="D242" s="13"/>
      <c r="E242" s="13"/>
      <c r="F242" s="13"/>
      <c r="G242" s="13"/>
      <c r="H242" s="13"/>
      <c r="I242" s="13"/>
      <c r="J242" s="13"/>
      <c r="K242" s="13"/>
      <c r="L242" s="13"/>
      <c r="M242" s="13"/>
    </row>
    <row r="243" spans="1:13" ht="12.75">
      <c r="A243" s="188">
        <v>240</v>
      </c>
      <c r="B243" s="13"/>
      <c r="C243" s="13"/>
      <c r="D243" s="13"/>
      <c r="E243" s="13"/>
      <c r="F243" s="13"/>
      <c r="G243" s="13"/>
      <c r="H243" s="13"/>
      <c r="I243" s="13"/>
      <c r="J243" s="13"/>
      <c r="K243" s="13"/>
      <c r="L243" s="13"/>
      <c r="M243" s="13"/>
    </row>
    <row r="244" spans="1:13" ht="12.75">
      <c r="A244" s="188">
        <v>241</v>
      </c>
      <c r="B244" s="13"/>
      <c r="C244" s="13"/>
      <c r="D244" s="13"/>
      <c r="E244" s="13"/>
      <c r="F244" s="13"/>
      <c r="G244" s="13"/>
      <c r="H244" s="13"/>
      <c r="I244" s="13"/>
      <c r="J244" s="13"/>
      <c r="K244" s="13"/>
      <c r="L244" s="13"/>
      <c r="M244" s="13"/>
    </row>
    <row r="245" spans="1:13" ht="12.75">
      <c r="A245" s="188">
        <v>242</v>
      </c>
      <c r="B245" s="13"/>
      <c r="C245" s="13"/>
      <c r="D245" s="13"/>
      <c r="E245" s="13"/>
      <c r="F245" s="13"/>
      <c r="G245" s="13"/>
      <c r="H245" s="13"/>
      <c r="I245" s="13"/>
      <c r="J245" s="13"/>
      <c r="K245" s="13"/>
      <c r="L245" s="13"/>
      <c r="M245" s="13"/>
    </row>
    <row r="246" spans="1:13" ht="12.75">
      <c r="A246" s="188">
        <v>243</v>
      </c>
      <c r="B246" s="13"/>
      <c r="C246" s="13"/>
      <c r="D246" s="13"/>
      <c r="E246" s="13"/>
      <c r="F246" s="13"/>
      <c r="G246" s="13"/>
      <c r="H246" s="13"/>
      <c r="I246" s="13"/>
      <c r="J246" s="13"/>
      <c r="K246" s="13"/>
      <c r="L246" s="13"/>
      <c r="M246" s="13"/>
    </row>
    <row r="247" spans="1:13" ht="12.75">
      <c r="A247" s="188">
        <v>244</v>
      </c>
      <c r="B247" s="13"/>
      <c r="C247" s="13"/>
      <c r="D247" s="13"/>
      <c r="E247" s="13"/>
      <c r="F247" s="13"/>
      <c r="G247" s="13"/>
      <c r="H247" s="13"/>
      <c r="I247" s="13"/>
      <c r="J247" s="13"/>
      <c r="K247" s="13"/>
      <c r="L247" s="13"/>
      <c r="M247" s="13"/>
    </row>
    <row r="248" spans="1:13" ht="12.75">
      <c r="A248" s="188">
        <v>245</v>
      </c>
      <c r="B248" s="13"/>
      <c r="C248" s="13"/>
      <c r="D248" s="13"/>
      <c r="E248" s="13"/>
      <c r="F248" s="13"/>
      <c r="G248" s="13"/>
      <c r="H248" s="13"/>
      <c r="I248" s="13"/>
      <c r="J248" s="13"/>
      <c r="K248" s="13"/>
      <c r="L248" s="13"/>
      <c r="M248" s="13"/>
    </row>
    <row r="249" spans="1:13" ht="12.75">
      <c r="A249" s="188">
        <v>246</v>
      </c>
      <c r="B249" s="13"/>
      <c r="C249" s="13"/>
      <c r="D249" s="13"/>
      <c r="E249" s="13"/>
      <c r="F249" s="13"/>
      <c r="G249" s="13"/>
      <c r="H249" s="13"/>
      <c r="I249" s="13"/>
      <c r="J249" s="13"/>
      <c r="K249" s="13"/>
      <c r="L249" s="13"/>
      <c r="M249" s="13"/>
    </row>
    <row r="250" spans="1:13" ht="12.75">
      <c r="A250" s="188">
        <v>247</v>
      </c>
      <c r="B250" s="13"/>
      <c r="C250" s="13"/>
      <c r="D250" s="13"/>
      <c r="E250" s="13"/>
      <c r="F250" s="13"/>
      <c r="G250" s="13"/>
      <c r="H250" s="13"/>
      <c r="I250" s="13"/>
      <c r="J250" s="13"/>
      <c r="K250" s="13"/>
      <c r="L250" s="13"/>
      <c r="M250" s="13"/>
    </row>
    <row r="251" spans="1:13" ht="12.75">
      <c r="A251" s="188">
        <v>248</v>
      </c>
      <c r="B251" s="13"/>
      <c r="C251" s="13"/>
      <c r="D251" s="13"/>
      <c r="E251" s="13"/>
      <c r="F251" s="13"/>
      <c r="G251" s="13"/>
      <c r="H251" s="13"/>
      <c r="I251" s="13"/>
      <c r="J251" s="13"/>
      <c r="K251" s="13"/>
      <c r="L251" s="13"/>
      <c r="M251" s="13"/>
    </row>
    <row r="252" spans="1:13" ht="12.75">
      <c r="A252" s="188">
        <v>249</v>
      </c>
      <c r="B252" s="13"/>
      <c r="C252" s="13"/>
      <c r="D252" s="13"/>
      <c r="E252" s="13"/>
      <c r="F252" s="13"/>
      <c r="G252" s="13"/>
      <c r="H252" s="13"/>
      <c r="I252" s="13"/>
      <c r="J252" s="13"/>
      <c r="K252" s="13"/>
      <c r="L252" s="13"/>
      <c r="M252" s="13"/>
    </row>
    <row r="253" spans="1:13" ht="12.75">
      <c r="A253" s="188">
        <v>250</v>
      </c>
      <c r="B253" s="13"/>
      <c r="C253" s="13"/>
      <c r="D253" s="13"/>
      <c r="E253" s="13"/>
      <c r="F253" s="13"/>
      <c r="G253" s="13"/>
      <c r="H253" s="13"/>
      <c r="I253" s="13"/>
      <c r="J253" s="13"/>
      <c r="K253" s="13"/>
      <c r="L253" s="13"/>
      <c r="M253" s="13"/>
    </row>
    <row r="254" spans="1:13" ht="12.75">
      <c r="A254" s="188">
        <v>251</v>
      </c>
      <c r="B254" s="13"/>
      <c r="C254" s="13"/>
      <c r="D254" s="13"/>
      <c r="E254" s="13"/>
      <c r="F254" s="13"/>
      <c r="G254" s="13"/>
      <c r="H254" s="13"/>
      <c r="I254" s="13"/>
      <c r="J254" s="13"/>
      <c r="K254" s="13"/>
      <c r="L254" s="13"/>
      <c r="M254" s="13"/>
    </row>
    <row r="255" spans="1:13" ht="12.75">
      <c r="A255" s="188">
        <v>252</v>
      </c>
      <c r="B255" s="13"/>
      <c r="C255" s="13"/>
      <c r="D255" s="13"/>
      <c r="E255" s="13"/>
      <c r="F255" s="13"/>
      <c r="G255" s="13"/>
      <c r="H255" s="13"/>
      <c r="I255" s="13"/>
      <c r="J255" s="13"/>
      <c r="K255" s="13"/>
      <c r="L255" s="13"/>
      <c r="M255" s="13"/>
    </row>
    <row r="256" spans="1:13" ht="12.75">
      <c r="A256" s="188">
        <v>253</v>
      </c>
      <c r="B256" s="13"/>
      <c r="C256" s="13"/>
      <c r="D256" s="13"/>
      <c r="E256" s="13"/>
      <c r="F256" s="13"/>
      <c r="G256" s="13"/>
      <c r="H256" s="13"/>
      <c r="I256" s="13"/>
      <c r="J256" s="13"/>
      <c r="K256" s="13"/>
      <c r="L256" s="13"/>
      <c r="M256" s="13"/>
    </row>
    <row r="257" spans="1:13" ht="12.75">
      <c r="A257" s="188">
        <v>254</v>
      </c>
      <c r="B257" s="13"/>
      <c r="C257" s="13"/>
      <c r="D257" s="13"/>
      <c r="E257" s="13"/>
      <c r="F257" s="13"/>
      <c r="G257" s="13"/>
      <c r="H257" s="13"/>
      <c r="I257" s="13"/>
      <c r="J257" s="13"/>
      <c r="K257" s="13"/>
      <c r="L257" s="13"/>
      <c r="M257" s="13"/>
    </row>
    <row r="258" spans="1:13" ht="12.75">
      <c r="A258" s="188">
        <v>255</v>
      </c>
      <c r="B258" s="13"/>
      <c r="C258" s="13"/>
      <c r="D258" s="13"/>
      <c r="E258" s="13"/>
      <c r="F258" s="13"/>
      <c r="G258" s="13"/>
      <c r="H258" s="13"/>
      <c r="I258" s="13"/>
      <c r="J258" s="13"/>
      <c r="K258" s="13"/>
      <c r="L258" s="13"/>
      <c r="M258" s="13"/>
    </row>
    <row r="259" spans="1:13" ht="12.75">
      <c r="A259" s="188">
        <v>256</v>
      </c>
      <c r="B259" s="13"/>
      <c r="C259" s="13"/>
      <c r="D259" s="13"/>
      <c r="E259" s="13"/>
      <c r="F259" s="13"/>
      <c r="G259" s="13"/>
      <c r="H259" s="13"/>
      <c r="I259" s="13"/>
      <c r="J259" s="13"/>
      <c r="K259" s="13"/>
      <c r="L259" s="13"/>
      <c r="M259" s="13"/>
    </row>
    <row r="260" spans="1:13" ht="12.75">
      <c r="A260" s="188">
        <v>257</v>
      </c>
      <c r="B260" s="13"/>
      <c r="C260" s="13"/>
      <c r="D260" s="13"/>
      <c r="E260" s="13"/>
      <c r="F260" s="13"/>
      <c r="G260" s="13"/>
      <c r="H260" s="13"/>
      <c r="I260" s="13"/>
      <c r="J260" s="13"/>
      <c r="K260" s="13"/>
      <c r="L260" s="13"/>
      <c r="M260" s="13"/>
    </row>
    <row r="261" spans="1:13" ht="12.75">
      <c r="A261" s="188">
        <v>258</v>
      </c>
      <c r="B261" s="13"/>
      <c r="C261" s="13"/>
      <c r="D261" s="13"/>
      <c r="E261" s="13"/>
      <c r="F261" s="13"/>
      <c r="G261" s="13"/>
      <c r="H261" s="13"/>
      <c r="I261" s="13"/>
      <c r="J261" s="13"/>
      <c r="K261" s="13"/>
      <c r="L261" s="13"/>
      <c r="M261" s="13"/>
    </row>
    <row r="262" spans="1:13" ht="12.75">
      <c r="A262" s="188">
        <v>259</v>
      </c>
      <c r="B262" s="13"/>
      <c r="C262" s="13"/>
      <c r="D262" s="13"/>
      <c r="E262" s="13"/>
      <c r="F262" s="13"/>
      <c r="G262" s="13"/>
      <c r="H262" s="13"/>
      <c r="I262" s="13"/>
      <c r="J262" s="13"/>
      <c r="K262" s="13"/>
      <c r="L262" s="13"/>
      <c r="M262" s="13"/>
    </row>
    <row r="263" spans="1:13" ht="12.75">
      <c r="A263" s="188">
        <v>260</v>
      </c>
      <c r="B263" s="13"/>
      <c r="C263" s="13"/>
      <c r="D263" s="13"/>
      <c r="E263" s="13"/>
      <c r="F263" s="13"/>
      <c r="G263" s="13"/>
      <c r="H263" s="13"/>
      <c r="I263" s="13"/>
      <c r="J263" s="13"/>
      <c r="K263" s="13"/>
      <c r="L263" s="13"/>
      <c r="M263" s="13"/>
    </row>
    <row r="264" spans="1:13" ht="12.75">
      <c r="A264" s="188">
        <v>261</v>
      </c>
      <c r="B264" s="13"/>
      <c r="C264" s="13"/>
      <c r="D264" s="13"/>
      <c r="E264" s="13"/>
      <c r="F264" s="13"/>
      <c r="G264" s="13"/>
      <c r="H264" s="13"/>
      <c r="I264" s="13"/>
      <c r="J264" s="13"/>
      <c r="K264" s="13"/>
      <c r="L264" s="13"/>
      <c r="M264" s="13"/>
    </row>
    <row r="265" spans="1:13" ht="12.75">
      <c r="A265" s="188">
        <v>262</v>
      </c>
      <c r="B265" s="13"/>
      <c r="C265" s="13"/>
      <c r="D265" s="13"/>
      <c r="E265" s="13"/>
      <c r="F265" s="13"/>
      <c r="G265" s="13"/>
      <c r="H265" s="13"/>
      <c r="I265" s="13"/>
      <c r="J265" s="13"/>
      <c r="K265" s="13"/>
      <c r="L265" s="13"/>
      <c r="M265" s="13"/>
    </row>
    <row r="266" spans="1:13" ht="12.75">
      <c r="A266" s="188">
        <v>263</v>
      </c>
      <c r="B266" s="13"/>
      <c r="C266" s="13"/>
      <c r="D266" s="13"/>
      <c r="E266" s="13"/>
      <c r="F266" s="13"/>
      <c r="G266" s="13"/>
      <c r="H266" s="13"/>
      <c r="I266" s="13"/>
      <c r="J266" s="13"/>
      <c r="K266" s="13"/>
      <c r="L266" s="13"/>
      <c r="M266" s="13"/>
    </row>
    <row r="267" spans="1:13" ht="12.75">
      <c r="A267" s="188">
        <v>264</v>
      </c>
      <c r="B267" s="13"/>
      <c r="C267" s="13"/>
      <c r="D267" s="13"/>
      <c r="E267" s="13"/>
      <c r="F267" s="13"/>
      <c r="G267" s="13"/>
      <c r="H267" s="13"/>
      <c r="I267" s="13"/>
      <c r="J267" s="13"/>
      <c r="K267" s="13"/>
      <c r="L267" s="13"/>
      <c r="M267" s="13"/>
    </row>
    <row r="268" spans="1:13" ht="12.75">
      <c r="A268" s="188">
        <v>265</v>
      </c>
      <c r="B268" s="13"/>
      <c r="C268" s="13"/>
      <c r="D268" s="13"/>
      <c r="E268" s="13"/>
      <c r="F268" s="13"/>
      <c r="G268" s="13"/>
      <c r="H268" s="13"/>
      <c r="I268" s="13"/>
      <c r="J268" s="13"/>
      <c r="K268" s="13"/>
      <c r="L268" s="13"/>
      <c r="M268" s="13"/>
    </row>
    <row r="269" spans="1:13" ht="12.75">
      <c r="A269" s="188">
        <v>266</v>
      </c>
      <c r="B269" s="13"/>
      <c r="C269" s="13"/>
      <c r="D269" s="13"/>
      <c r="E269" s="13"/>
      <c r="F269" s="13"/>
      <c r="G269" s="13"/>
      <c r="H269" s="13"/>
      <c r="I269" s="13"/>
      <c r="J269" s="13"/>
      <c r="K269" s="13"/>
      <c r="L269" s="13"/>
      <c r="M269" s="13"/>
    </row>
    <row r="270" spans="1:13" ht="12.75">
      <c r="A270" s="188">
        <v>267</v>
      </c>
      <c r="B270" s="13"/>
      <c r="C270" s="13"/>
      <c r="D270" s="13"/>
      <c r="E270" s="13"/>
      <c r="F270" s="13"/>
      <c r="G270" s="13"/>
      <c r="H270" s="13"/>
      <c r="I270" s="13"/>
      <c r="J270" s="13"/>
      <c r="K270" s="13"/>
      <c r="L270" s="13"/>
      <c r="M270" s="13"/>
    </row>
    <row r="271" spans="1:13" ht="12.75">
      <c r="A271" s="188">
        <v>268</v>
      </c>
      <c r="B271" s="13"/>
      <c r="C271" s="13"/>
      <c r="D271" s="13"/>
      <c r="E271" s="13"/>
      <c r="F271" s="13"/>
      <c r="G271" s="13"/>
      <c r="H271" s="13"/>
      <c r="I271" s="13"/>
      <c r="J271" s="13"/>
      <c r="K271" s="13"/>
      <c r="L271" s="13"/>
      <c r="M271" s="13"/>
    </row>
    <row r="272" spans="1:13" ht="12.75">
      <c r="A272" s="188">
        <v>269</v>
      </c>
      <c r="B272" s="13"/>
      <c r="C272" s="13"/>
      <c r="D272" s="13"/>
      <c r="E272" s="13"/>
      <c r="F272" s="13"/>
      <c r="G272" s="13"/>
      <c r="H272" s="13"/>
      <c r="I272" s="13"/>
      <c r="J272" s="13"/>
      <c r="K272" s="13"/>
      <c r="L272" s="13"/>
      <c r="M272" s="13"/>
    </row>
    <row r="273" spans="1:13" ht="12.75">
      <c r="A273" s="188">
        <v>270</v>
      </c>
      <c r="B273" s="13"/>
      <c r="C273" s="13"/>
      <c r="D273" s="13"/>
      <c r="E273" s="13"/>
      <c r="F273" s="13"/>
      <c r="G273" s="13"/>
      <c r="H273" s="13"/>
      <c r="I273" s="13"/>
      <c r="J273" s="13"/>
      <c r="K273" s="13"/>
      <c r="L273" s="13"/>
      <c r="M273" s="13"/>
    </row>
    <row r="274" spans="1:13" ht="12.75">
      <c r="A274" s="188">
        <v>271</v>
      </c>
      <c r="B274" s="13"/>
      <c r="C274" s="13"/>
      <c r="D274" s="13"/>
      <c r="E274" s="13"/>
      <c r="F274" s="13"/>
      <c r="G274" s="13"/>
      <c r="H274" s="13"/>
      <c r="I274" s="13"/>
      <c r="J274" s="13"/>
      <c r="K274" s="13"/>
      <c r="L274" s="13"/>
      <c r="M274" s="13"/>
    </row>
    <row r="275" spans="1:13" ht="12.75">
      <c r="A275" s="188">
        <v>272</v>
      </c>
      <c r="B275" s="13"/>
      <c r="C275" s="13"/>
      <c r="D275" s="13"/>
      <c r="E275" s="13"/>
      <c r="F275" s="13"/>
      <c r="G275" s="13"/>
      <c r="H275" s="13"/>
      <c r="I275" s="13"/>
      <c r="J275" s="13"/>
      <c r="K275" s="13"/>
      <c r="L275" s="13"/>
      <c r="M275" s="13"/>
    </row>
    <row r="276" spans="1:13" ht="12.75">
      <c r="A276" s="188">
        <v>273</v>
      </c>
      <c r="B276" s="13"/>
      <c r="C276" s="13"/>
      <c r="D276" s="13"/>
      <c r="E276" s="13"/>
      <c r="F276" s="13"/>
      <c r="G276" s="13"/>
      <c r="H276" s="13"/>
      <c r="I276" s="13"/>
      <c r="J276" s="13"/>
      <c r="K276" s="13"/>
      <c r="L276" s="13"/>
      <c r="M276" s="13"/>
    </row>
    <row r="277" spans="1:13" ht="12.75">
      <c r="A277" s="188">
        <v>274</v>
      </c>
      <c r="B277" s="13"/>
      <c r="C277" s="13"/>
      <c r="D277" s="13"/>
      <c r="E277" s="13"/>
      <c r="F277" s="13"/>
      <c r="G277" s="13"/>
      <c r="H277" s="13"/>
      <c r="I277" s="13"/>
      <c r="J277" s="13"/>
      <c r="K277" s="13"/>
      <c r="L277" s="13"/>
      <c r="M277" s="13"/>
    </row>
    <row r="278" spans="1:13" ht="12.75">
      <c r="A278" s="188">
        <v>275</v>
      </c>
      <c r="B278" s="13"/>
      <c r="C278" s="13"/>
      <c r="D278" s="13"/>
      <c r="E278" s="13"/>
      <c r="F278" s="13"/>
      <c r="G278" s="13"/>
      <c r="H278" s="13"/>
      <c r="I278" s="13"/>
      <c r="J278" s="13"/>
      <c r="K278" s="13"/>
      <c r="L278" s="13"/>
      <c r="M278" s="13"/>
    </row>
    <row r="279" spans="1:13" ht="12.75">
      <c r="A279" s="188">
        <v>276</v>
      </c>
      <c r="B279" s="13"/>
      <c r="C279" s="13"/>
      <c r="D279" s="13"/>
      <c r="E279" s="13"/>
      <c r="F279" s="13"/>
      <c r="G279" s="13"/>
      <c r="H279" s="13"/>
      <c r="I279" s="13"/>
      <c r="J279" s="13"/>
      <c r="K279" s="13"/>
      <c r="L279" s="13"/>
      <c r="M279" s="13"/>
    </row>
    <row r="280" spans="1:13" ht="12.75">
      <c r="A280" s="188">
        <v>277</v>
      </c>
      <c r="B280" s="13"/>
      <c r="C280" s="13"/>
      <c r="D280" s="13"/>
      <c r="E280" s="13"/>
      <c r="F280" s="13"/>
      <c r="G280" s="13"/>
      <c r="H280" s="13"/>
      <c r="I280" s="13"/>
      <c r="J280" s="13"/>
      <c r="K280" s="13"/>
      <c r="L280" s="13"/>
      <c r="M280" s="13"/>
    </row>
    <row r="281" spans="1:13" ht="12.75">
      <c r="A281" s="188">
        <v>278</v>
      </c>
      <c r="B281" s="13"/>
      <c r="C281" s="13"/>
      <c r="D281" s="13"/>
      <c r="E281" s="13"/>
      <c r="F281" s="13"/>
      <c r="G281" s="13"/>
      <c r="H281" s="13"/>
      <c r="I281" s="13"/>
      <c r="J281" s="13"/>
      <c r="K281" s="13"/>
      <c r="L281" s="13"/>
      <c r="M281" s="13"/>
    </row>
    <row r="282" spans="1:13" ht="12.75">
      <c r="A282" s="188">
        <v>279</v>
      </c>
      <c r="B282" s="13"/>
      <c r="C282" s="13"/>
      <c r="D282" s="13"/>
      <c r="E282" s="13"/>
      <c r="F282" s="13"/>
      <c r="G282" s="13"/>
      <c r="H282" s="13"/>
      <c r="I282" s="13"/>
      <c r="J282" s="13"/>
      <c r="K282" s="13"/>
      <c r="L282" s="13"/>
      <c r="M282" s="13"/>
    </row>
    <row r="283" spans="1:13" ht="12.75">
      <c r="A283" s="188">
        <v>280</v>
      </c>
      <c r="B283" s="13"/>
      <c r="C283" s="13"/>
      <c r="D283" s="13"/>
      <c r="E283" s="13"/>
      <c r="F283" s="13"/>
      <c r="G283" s="13"/>
      <c r="H283" s="13"/>
      <c r="I283" s="13"/>
      <c r="J283" s="13"/>
      <c r="K283" s="13"/>
      <c r="L283" s="13"/>
      <c r="M283" s="13"/>
    </row>
    <row r="284" spans="1:13" ht="12.75">
      <c r="A284" s="188">
        <v>281</v>
      </c>
      <c r="B284" s="13"/>
      <c r="C284" s="13"/>
      <c r="D284" s="13"/>
      <c r="E284" s="13"/>
      <c r="F284" s="13"/>
      <c r="G284" s="13"/>
      <c r="H284" s="13"/>
      <c r="I284" s="13"/>
      <c r="J284" s="13"/>
      <c r="K284" s="13"/>
      <c r="L284" s="13"/>
      <c r="M284" s="13"/>
    </row>
    <row r="285" spans="1:13" ht="12.75">
      <c r="A285" s="188">
        <v>282</v>
      </c>
      <c r="B285" s="13"/>
      <c r="C285" s="13"/>
      <c r="D285" s="13"/>
      <c r="E285" s="13"/>
      <c r="F285" s="13"/>
      <c r="G285" s="13"/>
      <c r="H285" s="13"/>
      <c r="I285" s="13"/>
      <c r="J285" s="13"/>
      <c r="K285" s="13"/>
      <c r="L285" s="13"/>
      <c r="M285" s="13"/>
    </row>
    <row r="286" spans="1:13" ht="12.75">
      <c r="A286" s="188">
        <v>283</v>
      </c>
      <c r="B286" s="13"/>
      <c r="C286" s="13"/>
      <c r="D286" s="13"/>
      <c r="E286" s="13"/>
      <c r="F286" s="13"/>
      <c r="G286" s="13"/>
      <c r="H286" s="13"/>
      <c r="I286" s="13"/>
      <c r="J286" s="13"/>
      <c r="K286" s="13"/>
      <c r="L286" s="13"/>
      <c r="M286" s="13"/>
    </row>
    <row r="287" spans="1:13" ht="12.75">
      <c r="A287" s="188">
        <v>284</v>
      </c>
      <c r="B287" s="13"/>
      <c r="C287" s="13"/>
      <c r="D287" s="13"/>
      <c r="E287" s="13"/>
      <c r="F287" s="13"/>
      <c r="G287" s="13"/>
      <c r="H287" s="13"/>
      <c r="I287" s="13"/>
      <c r="J287" s="13"/>
      <c r="K287" s="13"/>
      <c r="L287" s="13"/>
      <c r="M287" s="13"/>
    </row>
    <row r="288" spans="1:13" ht="12.75">
      <c r="A288" s="188">
        <v>285</v>
      </c>
      <c r="B288" s="13"/>
      <c r="C288" s="13"/>
      <c r="D288" s="13"/>
      <c r="E288" s="13"/>
      <c r="F288" s="13"/>
      <c r="G288" s="13"/>
      <c r="H288" s="13"/>
      <c r="I288" s="13"/>
      <c r="J288" s="13"/>
      <c r="K288" s="13"/>
      <c r="L288" s="13"/>
      <c r="M288" s="13"/>
    </row>
    <row r="289" spans="1:13" ht="12.75">
      <c r="A289" s="188">
        <v>286</v>
      </c>
      <c r="B289" s="13"/>
      <c r="C289" s="13"/>
      <c r="D289" s="13"/>
      <c r="E289" s="13"/>
      <c r="F289" s="13"/>
      <c r="G289" s="13"/>
      <c r="H289" s="13"/>
      <c r="I289" s="13"/>
      <c r="J289" s="13"/>
      <c r="K289" s="13"/>
      <c r="L289" s="13"/>
      <c r="M289" s="13"/>
    </row>
    <row r="290" spans="1:13" ht="12.75">
      <c r="A290" s="188">
        <v>287</v>
      </c>
      <c r="B290" s="13"/>
      <c r="C290" s="13"/>
      <c r="D290" s="13"/>
      <c r="E290" s="13"/>
      <c r="F290" s="13"/>
      <c r="G290" s="13"/>
      <c r="H290" s="13"/>
      <c r="I290" s="13"/>
      <c r="J290" s="13"/>
      <c r="K290" s="13"/>
      <c r="L290" s="13"/>
      <c r="M290" s="13"/>
    </row>
    <row r="291" spans="1:13" ht="12.75">
      <c r="A291" s="188">
        <v>288</v>
      </c>
      <c r="B291" s="13"/>
      <c r="C291" s="13"/>
      <c r="D291" s="13"/>
      <c r="E291" s="13"/>
      <c r="F291" s="13"/>
      <c r="G291" s="13"/>
      <c r="H291" s="13"/>
      <c r="I291" s="13"/>
      <c r="J291" s="13"/>
      <c r="K291" s="13"/>
      <c r="L291" s="13"/>
      <c r="M291" s="13"/>
    </row>
    <row r="292" spans="1:13" ht="12.75">
      <c r="A292" s="188">
        <v>289</v>
      </c>
      <c r="B292" s="13"/>
      <c r="C292" s="13"/>
      <c r="D292" s="13"/>
      <c r="E292" s="13"/>
      <c r="F292" s="13"/>
      <c r="G292" s="13"/>
      <c r="H292" s="13"/>
      <c r="I292" s="13"/>
      <c r="J292" s="13"/>
      <c r="K292" s="13"/>
      <c r="L292" s="13"/>
      <c r="M292" s="13"/>
    </row>
    <row r="293" spans="1:13" ht="12.75">
      <c r="A293" s="188">
        <v>290</v>
      </c>
      <c r="B293" s="13"/>
      <c r="C293" s="13"/>
      <c r="D293" s="13"/>
      <c r="E293" s="13"/>
      <c r="F293" s="13"/>
      <c r="G293" s="13"/>
      <c r="H293" s="13"/>
      <c r="I293" s="13"/>
      <c r="J293" s="13"/>
      <c r="K293" s="13"/>
      <c r="L293" s="13"/>
      <c r="M293" s="13"/>
    </row>
    <row r="294" spans="1:13" ht="12.75">
      <c r="A294" s="188">
        <v>291</v>
      </c>
      <c r="B294" s="13"/>
      <c r="C294" s="13"/>
      <c r="D294" s="13"/>
      <c r="E294" s="13"/>
      <c r="F294" s="13"/>
      <c r="G294" s="13"/>
      <c r="H294" s="13"/>
      <c r="I294" s="13"/>
      <c r="J294" s="13"/>
      <c r="K294" s="13"/>
      <c r="L294" s="13"/>
      <c r="M294" s="13"/>
    </row>
    <row r="295" spans="1:13" ht="12.75">
      <c r="A295" s="188">
        <v>292</v>
      </c>
      <c r="B295" s="13"/>
      <c r="C295" s="13"/>
      <c r="D295" s="13"/>
      <c r="E295" s="13"/>
      <c r="F295" s="13"/>
      <c r="G295" s="13"/>
      <c r="H295" s="13"/>
      <c r="I295" s="13"/>
      <c r="J295" s="13"/>
      <c r="K295" s="13"/>
      <c r="L295" s="13"/>
      <c r="M295" s="13"/>
    </row>
    <row r="296" spans="1:13" ht="12.75">
      <c r="A296" s="188">
        <v>293</v>
      </c>
      <c r="B296" s="13"/>
      <c r="C296" s="13"/>
      <c r="D296" s="13"/>
      <c r="E296" s="13"/>
      <c r="F296" s="13"/>
      <c r="G296" s="13"/>
      <c r="H296" s="13"/>
      <c r="I296" s="13"/>
      <c r="J296" s="13"/>
      <c r="K296" s="13"/>
      <c r="L296" s="13"/>
      <c r="M296" s="13"/>
    </row>
    <row r="297" spans="1:13" ht="12.75">
      <c r="A297" s="188">
        <v>294</v>
      </c>
      <c r="B297" s="13"/>
      <c r="C297" s="13"/>
      <c r="D297" s="13"/>
      <c r="E297" s="13"/>
      <c r="F297" s="13"/>
      <c r="G297" s="13"/>
      <c r="H297" s="13"/>
      <c r="I297" s="13"/>
      <c r="J297" s="13"/>
      <c r="K297" s="13"/>
      <c r="L297" s="13"/>
      <c r="M297" s="13"/>
    </row>
    <row r="298" spans="1:13" ht="12.75">
      <c r="A298" s="188">
        <v>295</v>
      </c>
      <c r="B298" s="13"/>
      <c r="C298" s="13"/>
      <c r="D298" s="13"/>
      <c r="E298" s="13"/>
      <c r="F298" s="13"/>
      <c r="G298" s="13"/>
      <c r="H298" s="13"/>
      <c r="I298" s="13"/>
      <c r="J298" s="13"/>
      <c r="K298" s="13"/>
      <c r="L298" s="13"/>
      <c r="M298" s="13"/>
    </row>
    <row r="299" spans="1:13" ht="12.75">
      <c r="A299" s="188">
        <v>296</v>
      </c>
      <c r="B299" s="13"/>
      <c r="C299" s="13"/>
      <c r="D299" s="13"/>
      <c r="E299" s="13"/>
      <c r="F299" s="13"/>
      <c r="G299" s="13"/>
      <c r="H299" s="13"/>
      <c r="I299" s="13"/>
      <c r="J299" s="13"/>
      <c r="K299" s="13"/>
      <c r="L299" s="13"/>
      <c r="M299" s="13"/>
    </row>
    <row r="300" spans="1:13" ht="12.75">
      <c r="A300" s="188">
        <v>297</v>
      </c>
      <c r="B300" s="13"/>
      <c r="C300" s="13"/>
      <c r="D300" s="13"/>
      <c r="E300" s="13"/>
      <c r="F300" s="13"/>
      <c r="G300" s="13"/>
      <c r="H300" s="13"/>
      <c r="I300" s="13"/>
      <c r="J300" s="13"/>
      <c r="K300" s="13"/>
      <c r="L300" s="13"/>
      <c r="M300" s="13"/>
    </row>
    <row r="301" spans="1:13" ht="12.75">
      <c r="A301" s="188">
        <v>298</v>
      </c>
      <c r="B301" s="13"/>
      <c r="C301" s="13"/>
      <c r="D301" s="13"/>
      <c r="E301" s="13"/>
      <c r="F301" s="13"/>
      <c r="G301" s="13"/>
      <c r="H301" s="13"/>
      <c r="I301" s="13"/>
      <c r="J301" s="13"/>
      <c r="K301" s="13"/>
      <c r="L301" s="13"/>
      <c r="M301" s="13"/>
    </row>
    <row r="302" spans="1:13" ht="12.75">
      <c r="A302" s="188">
        <v>299</v>
      </c>
      <c r="B302" s="13"/>
      <c r="C302" s="13"/>
      <c r="D302" s="13"/>
      <c r="E302" s="13"/>
      <c r="F302" s="13"/>
      <c r="G302" s="13"/>
      <c r="H302" s="13"/>
      <c r="I302" s="13"/>
      <c r="J302" s="13"/>
      <c r="K302" s="13"/>
      <c r="L302" s="13"/>
      <c r="M302" s="13"/>
    </row>
    <row r="303" spans="1:13" ht="12.75">
      <c r="A303" s="188">
        <v>300</v>
      </c>
      <c r="B303" s="13"/>
      <c r="C303" s="13"/>
      <c r="D303" s="13"/>
      <c r="E303" s="13"/>
      <c r="F303" s="13"/>
      <c r="G303" s="13"/>
      <c r="H303" s="13"/>
      <c r="I303" s="13"/>
      <c r="J303" s="13"/>
      <c r="K303" s="13"/>
      <c r="L303" s="13"/>
      <c r="M303" s="13"/>
    </row>
    <row r="304" spans="1:13" ht="12.75">
      <c r="A304" s="188">
        <v>301</v>
      </c>
      <c r="B304" s="13"/>
      <c r="C304" s="13"/>
      <c r="D304" s="13"/>
      <c r="E304" s="13"/>
      <c r="F304" s="13"/>
      <c r="G304" s="13"/>
      <c r="H304" s="13"/>
      <c r="I304" s="13"/>
      <c r="J304" s="13"/>
      <c r="K304" s="13"/>
      <c r="L304" s="13"/>
      <c r="M304" s="13"/>
    </row>
    <row r="305" spans="1:13" ht="12.75">
      <c r="A305" s="188">
        <v>302</v>
      </c>
      <c r="B305" s="13"/>
      <c r="C305" s="13"/>
      <c r="D305" s="13"/>
      <c r="E305" s="13"/>
      <c r="F305" s="13"/>
      <c r="G305" s="13"/>
      <c r="H305" s="13"/>
      <c r="I305" s="13"/>
      <c r="J305" s="13"/>
      <c r="K305" s="13"/>
      <c r="L305" s="13"/>
      <c r="M305" s="13"/>
    </row>
    <row r="306" spans="1:13" ht="12.75">
      <c r="A306" s="188">
        <v>303</v>
      </c>
      <c r="B306" s="13"/>
      <c r="C306" s="13"/>
      <c r="D306" s="13"/>
      <c r="E306" s="13"/>
      <c r="F306" s="13"/>
      <c r="G306" s="13"/>
      <c r="H306" s="13"/>
      <c r="I306" s="13"/>
      <c r="J306" s="13"/>
      <c r="K306" s="13"/>
      <c r="L306" s="13"/>
      <c r="M306" s="13"/>
    </row>
    <row r="307" spans="1:13" ht="12.75">
      <c r="A307" s="188">
        <v>304</v>
      </c>
      <c r="B307" s="13"/>
      <c r="C307" s="13"/>
      <c r="D307" s="13"/>
      <c r="E307" s="13"/>
      <c r="F307" s="13"/>
      <c r="G307" s="13"/>
      <c r="H307" s="13"/>
      <c r="I307" s="13"/>
      <c r="J307" s="13"/>
      <c r="K307" s="13"/>
      <c r="L307" s="13"/>
      <c r="M307" s="13"/>
    </row>
    <row r="308" spans="1:13" ht="12.75">
      <c r="A308" s="188">
        <v>305</v>
      </c>
      <c r="B308" s="13"/>
      <c r="C308" s="13"/>
      <c r="D308" s="13"/>
      <c r="E308" s="13"/>
      <c r="F308" s="13"/>
      <c r="G308" s="13"/>
      <c r="H308" s="13"/>
      <c r="I308" s="13"/>
      <c r="J308" s="13"/>
      <c r="K308" s="13"/>
      <c r="L308" s="13"/>
      <c r="M308" s="13"/>
    </row>
    <row r="309" spans="1:13" ht="12.75">
      <c r="A309" s="188">
        <v>306</v>
      </c>
      <c r="B309" s="13"/>
      <c r="C309" s="13"/>
      <c r="D309" s="13"/>
      <c r="E309" s="13"/>
      <c r="F309" s="13"/>
      <c r="G309" s="13"/>
      <c r="H309" s="13"/>
      <c r="I309" s="13"/>
      <c r="J309" s="13"/>
      <c r="K309" s="13"/>
      <c r="L309" s="13"/>
      <c r="M309" s="13"/>
    </row>
    <row r="310" spans="1:13" ht="12.75">
      <c r="A310" s="188">
        <v>307</v>
      </c>
      <c r="B310" s="13"/>
      <c r="C310" s="13"/>
      <c r="D310" s="13"/>
      <c r="E310" s="13"/>
      <c r="F310" s="13"/>
      <c r="G310" s="13"/>
      <c r="H310" s="13"/>
      <c r="I310" s="13"/>
      <c r="J310" s="13"/>
      <c r="K310" s="13"/>
      <c r="L310" s="13"/>
      <c r="M310" s="13"/>
    </row>
    <row r="311" spans="1:13" ht="12.75">
      <c r="A311" s="188">
        <v>308</v>
      </c>
      <c r="B311" s="13"/>
      <c r="C311" s="13"/>
      <c r="D311" s="13"/>
      <c r="E311" s="13"/>
      <c r="F311" s="13"/>
      <c r="G311" s="13"/>
      <c r="H311" s="13"/>
      <c r="I311" s="13"/>
      <c r="J311" s="13"/>
      <c r="K311" s="13"/>
      <c r="L311" s="13"/>
      <c r="M311" s="13"/>
    </row>
    <row r="312" spans="1:13" ht="12.75">
      <c r="A312" s="188">
        <v>309</v>
      </c>
      <c r="B312" s="13"/>
      <c r="C312" s="13"/>
      <c r="D312" s="13"/>
      <c r="E312" s="13"/>
      <c r="F312" s="13"/>
      <c r="G312" s="13"/>
      <c r="H312" s="13"/>
      <c r="I312" s="13"/>
      <c r="J312" s="13"/>
      <c r="K312" s="13"/>
      <c r="L312" s="13"/>
      <c r="M312" s="13"/>
    </row>
    <row r="313" spans="1:13" ht="12.75">
      <c r="A313" s="188">
        <v>310</v>
      </c>
      <c r="B313" s="13"/>
      <c r="C313" s="13"/>
      <c r="D313" s="13"/>
      <c r="E313" s="13"/>
      <c r="F313" s="13"/>
      <c r="G313" s="13"/>
      <c r="H313" s="13"/>
      <c r="I313" s="13"/>
      <c r="J313" s="13"/>
      <c r="K313" s="13"/>
      <c r="L313" s="13"/>
      <c r="M313" s="13"/>
    </row>
    <row r="314" spans="1:13" ht="12.75">
      <c r="A314" s="188">
        <v>311</v>
      </c>
      <c r="B314" s="13"/>
      <c r="C314" s="13"/>
      <c r="D314" s="13"/>
      <c r="E314" s="13"/>
      <c r="F314" s="13"/>
      <c r="G314" s="13"/>
      <c r="H314" s="13"/>
      <c r="I314" s="13"/>
      <c r="J314" s="13"/>
      <c r="K314" s="13"/>
      <c r="L314" s="13"/>
      <c r="M314" s="13"/>
    </row>
    <row r="315" spans="1:13" ht="12.75">
      <c r="A315" s="188">
        <v>312</v>
      </c>
      <c r="B315" s="13"/>
      <c r="C315" s="13"/>
      <c r="D315" s="13"/>
      <c r="E315" s="13"/>
      <c r="F315" s="13"/>
      <c r="G315" s="13"/>
      <c r="H315" s="13"/>
      <c r="I315" s="13"/>
      <c r="J315" s="13"/>
      <c r="K315" s="13"/>
      <c r="L315" s="13"/>
      <c r="M315" s="13"/>
    </row>
    <row r="316" spans="1:13" ht="12.75">
      <c r="A316" s="188">
        <v>313</v>
      </c>
      <c r="B316" s="13"/>
      <c r="C316" s="13"/>
      <c r="D316" s="13"/>
      <c r="E316" s="13"/>
      <c r="F316" s="13"/>
      <c r="G316" s="13"/>
      <c r="H316" s="13"/>
      <c r="I316" s="13"/>
      <c r="J316" s="13"/>
      <c r="K316" s="13"/>
      <c r="L316" s="13"/>
      <c r="M316" s="13"/>
    </row>
    <row r="317" spans="1:13" ht="12.75">
      <c r="A317" s="188">
        <v>314</v>
      </c>
      <c r="B317" s="13"/>
      <c r="C317" s="13"/>
      <c r="D317" s="13"/>
      <c r="E317" s="13"/>
      <c r="F317" s="13"/>
      <c r="G317" s="13"/>
      <c r="H317" s="13"/>
      <c r="I317" s="13"/>
      <c r="J317" s="13"/>
      <c r="K317" s="13"/>
      <c r="L317" s="13"/>
      <c r="M317" s="13"/>
    </row>
    <row r="318" spans="1:13" ht="12.75">
      <c r="A318" s="188">
        <v>315</v>
      </c>
      <c r="B318" s="13"/>
      <c r="C318" s="13"/>
      <c r="D318" s="13"/>
      <c r="E318" s="13"/>
      <c r="F318" s="13"/>
      <c r="G318" s="13"/>
      <c r="H318" s="13"/>
      <c r="I318" s="13"/>
      <c r="J318" s="13"/>
      <c r="K318" s="13"/>
      <c r="L318" s="13"/>
      <c r="M318" s="13"/>
    </row>
    <row r="319" spans="1:13" ht="12.75">
      <c r="A319" s="188">
        <v>316</v>
      </c>
      <c r="B319" s="13"/>
      <c r="C319" s="13"/>
      <c r="D319" s="13"/>
      <c r="E319" s="13"/>
      <c r="F319" s="13"/>
      <c r="G319" s="13"/>
      <c r="H319" s="13"/>
      <c r="I319" s="13"/>
      <c r="J319" s="13"/>
      <c r="K319" s="13"/>
      <c r="L319" s="13"/>
      <c r="M319" s="13"/>
    </row>
    <row r="320" spans="1:13" ht="12.75">
      <c r="A320" s="188">
        <v>317</v>
      </c>
      <c r="B320" s="13"/>
      <c r="C320" s="13"/>
      <c r="D320" s="13"/>
      <c r="E320" s="13"/>
      <c r="F320" s="13"/>
      <c r="G320" s="13"/>
      <c r="H320" s="13"/>
      <c r="I320" s="13"/>
      <c r="J320" s="13"/>
      <c r="K320" s="13"/>
      <c r="L320" s="13"/>
      <c r="M320" s="13"/>
    </row>
    <row r="321" spans="1:13" ht="12.75">
      <c r="A321" s="188">
        <v>318</v>
      </c>
      <c r="B321" s="13"/>
      <c r="C321" s="13"/>
      <c r="D321" s="13"/>
      <c r="E321" s="13"/>
      <c r="F321" s="13"/>
      <c r="G321" s="13"/>
      <c r="H321" s="13"/>
      <c r="I321" s="13"/>
      <c r="J321" s="13"/>
      <c r="K321" s="13"/>
      <c r="L321" s="13"/>
      <c r="M321" s="13"/>
    </row>
    <row r="322" spans="1:13" ht="12.75">
      <c r="A322" s="188">
        <v>319</v>
      </c>
      <c r="B322" s="13"/>
      <c r="C322" s="13"/>
      <c r="D322" s="13"/>
      <c r="E322" s="13"/>
      <c r="F322" s="13"/>
      <c r="G322" s="13"/>
      <c r="H322" s="13"/>
      <c r="I322" s="13"/>
      <c r="J322" s="13"/>
      <c r="K322" s="13"/>
      <c r="L322" s="13"/>
      <c r="M322" s="13"/>
    </row>
    <row r="323" spans="1:13" ht="12.75">
      <c r="A323" s="188">
        <v>320</v>
      </c>
      <c r="B323" s="13"/>
      <c r="C323" s="13"/>
      <c r="D323" s="13"/>
      <c r="E323" s="13"/>
      <c r="F323" s="13"/>
      <c r="G323" s="13"/>
      <c r="H323" s="13"/>
      <c r="I323" s="13"/>
      <c r="J323" s="13"/>
      <c r="K323" s="13"/>
      <c r="L323" s="13"/>
      <c r="M323" s="13"/>
    </row>
    <row r="324" spans="1:13" ht="12.75">
      <c r="A324" s="188">
        <v>321</v>
      </c>
      <c r="B324" s="13"/>
      <c r="C324" s="13"/>
      <c r="D324" s="13"/>
      <c r="E324" s="13"/>
      <c r="F324" s="13"/>
      <c r="G324" s="13"/>
      <c r="H324" s="13"/>
      <c r="I324" s="13"/>
      <c r="J324" s="13"/>
      <c r="K324" s="13"/>
      <c r="L324" s="13"/>
      <c r="M324" s="13"/>
    </row>
    <row r="325" spans="1:13" ht="12.75">
      <c r="A325" s="188">
        <v>322</v>
      </c>
      <c r="B325" s="13"/>
      <c r="C325" s="13"/>
      <c r="D325" s="13"/>
      <c r="E325" s="13"/>
      <c r="F325" s="13"/>
      <c r="G325" s="13"/>
      <c r="H325" s="13"/>
      <c r="I325" s="13"/>
      <c r="J325" s="13"/>
      <c r="K325" s="13"/>
      <c r="L325" s="13"/>
      <c r="M325" s="13"/>
    </row>
    <row r="326" spans="1:13" ht="12.75">
      <c r="A326" s="188">
        <v>323</v>
      </c>
      <c r="B326" s="13"/>
      <c r="C326" s="13"/>
      <c r="D326" s="13"/>
      <c r="E326" s="13"/>
      <c r="F326" s="13"/>
      <c r="G326" s="13"/>
      <c r="H326" s="13"/>
      <c r="I326" s="13"/>
      <c r="J326" s="13"/>
      <c r="K326" s="13"/>
      <c r="L326" s="13"/>
      <c r="M326" s="13"/>
    </row>
    <row r="327" spans="1:13" ht="12.75">
      <c r="A327" s="188">
        <v>324</v>
      </c>
      <c r="B327" s="13"/>
      <c r="C327" s="13"/>
      <c r="D327" s="13"/>
      <c r="E327" s="13"/>
      <c r="F327" s="13"/>
      <c r="G327" s="13"/>
      <c r="H327" s="13"/>
      <c r="I327" s="13"/>
      <c r="J327" s="13"/>
      <c r="K327" s="13"/>
      <c r="L327" s="13"/>
      <c r="M327" s="13"/>
    </row>
    <row r="328" spans="1:13" ht="12.75">
      <c r="A328" s="188">
        <v>325</v>
      </c>
      <c r="B328" s="13"/>
      <c r="C328" s="13"/>
      <c r="D328" s="13"/>
      <c r="E328" s="13"/>
      <c r="F328" s="13"/>
      <c r="G328" s="13"/>
      <c r="H328" s="13"/>
      <c r="I328" s="13"/>
      <c r="J328" s="13"/>
      <c r="K328" s="13"/>
      <c r="L328" s="13"/>
      <c r="M328" s="13"/>
    </row>
    <row r="329" spans="1:13" ht="12.75">
      <c r="A329" s="188">
        <v>326</v>
      </c>
      <c r="B329" s="13"/>
      <c r="C329" s="13"/>
      <c r="D329" s="13"/>
      <c r="E329" s="13"/>
      <c r="F329" s="13"/>
      <c r="G329" s="13"/>
      <c r="H329" s="13"/>
      <c r="I329" s="13"/>
      <c r="J329" s="13"/>
      <c r="K329" s="13"/>
      <c r="L329" s="13"/>
      <c r="M329" s="13"/>
    </row>
    <row r="330" spans="1:13" ht="12.75">
      <c r="A330" s="188">
        <v>327</v>
      </c>
      <c r="B330" s="13"/>
      <c r="C330" s="13"/>
      <c r="D330" s="13"/>
      <c r="E330" s="13"/>
      <c r="F330" s="13"/>
      <c r="G330" s="13"/>
      <c r="H330" s="13"/>
      <c r="I330" s="13"/>
      <c r="J330" s="13"/>
      <c r="K330" s="13"/>
      <c r="L330" s="13"/>
      <c r="M330" s="13"/>
    </row>
    <row r="331" spans="1:13" ht="12.75">
      <c r="A331" s="188">
        <v>328</v>
      </c>
      <c r="B331" s="13"/>
      <c r="C331" s="13"/>
      <c r="D331" s="13"/>
      <c r="E331" s="13"/>
      <c r="F331" s="13"/>
      <c r="G331" s="13"/>
      <c r="H331" s="13"/>
      <c r="I331" s="13"/>
      <c r="J331" s="13"/>
      <c r="K331" s="13"/>
      <c r="L331" s="13"/>
      <c r="M331" s="13"/>
    </row>
    <row r="332" spans="1:13" ht="12.75">
      <c r="A332" s="188">
        <v>329</v>
      </c>
      <c r="B332" s="13"/>
      <c r="C332" s="13"/>
      <c r="D332" s="13"/>
      <c r="E332" s="13"/>
      <c r="F332" s="13"/>
      <c r="G332" s="13"/>
      <c r="H332" s="13"/>
      <c r="I332" s="13"/>
      <c r="J332" s="13"/>
      <c r="K332" s="13"/>
      <c r="L332" s="13"/>
      <c r="M332" s="13"/>
    </row>
    <row r="333" spans="1:13" ht="12.75">
      <c r="A333" s="188">
        <v>330</v>
      </c>
      <c r="B333" s="13"/>
      <c r="C333" s="13"/>
      <c r="D333" s="13"/>
      <c r="E333" s="13"/>
      <c r="F333" s="13"/>
      <c r="G333" s="13"/>
      <c r="H333" s="13"/>
      <c r="I333" s="13"/>
      <c r="J333" s="13"/>
      <c r="K333" s="13"/>
      <c r="L333" s="13"/>
      <c r="M333" s="13"/>
    </row>
    <row r="334" spans="1:13" ht="12.75">
      <c r="A334" s="188">
        <v>331</v>
      </c>
      <c r="B334" s="13"/>
      <c r="C334" s="13"/>
      <c r="D334" s="13"/>
      <c r="E334" s="13"/>
      <c r="F334" s="13"/>
      <c r="G334" s="13"/>
      <c r="H334" s="13"/>
      <c r="I334" s="13"/>
      <c r="J334" s="13"/>
      <c r="K334" s="13"/>
      <c r="L334" s="13"/>
      <c r="M334" s="13"/>
    </row>
    <row r="335" spans="1:13" ht="12.75">
      <c r="A335" s="188">
        <v>332</v>
      </c>
      <c r="B335" s="13"/>
      <c r="C335" s="13"/>
      <c r="D335" s="13"/>
      <c r="E335" s="13"/>
      <c r="F335" s="13"/>
      <c r="G335" s="13"/>
      <c r="H335" s="13"/>
      <c r="I335" s="13"/>
      <c r="J335" s="13"/>
      <c r="K335" s="13"/>
      <c r="L335" s="13"/>
      <c r="M335" s="13"/>
    </row>
    <row r="336" spans="1:13" ht="12.75">
      <c r="A336" s="188">
        <v>333</v>
      </c>
      <c r="B336" s="13"/>
      <c r="C336" s="13"/>
      <c r="D336" s="13"/>
      <c r="E336" s="13"/>
      <c r="F336" s="13"/>
      <c r="G336" s="13"/>
      <c r="H336" s="13"/>
      <c r="I336" s="13"/>
      <c r="J336" s="13"/>
      <c r="K336" s="13"/>
      <c r="L336" s="13"/>
      <c r="M336" s="13"/>
    </row>
    <row r="337" spans="1:13" ht="12.75">
      <c r="A337" s="188">
        <v>334</v>
      </c>
      <c r="B337" s="13"/>
      <c r="C337" s="13"/>
      <c r="D337" s="13"/>
      <c r="E337" s="13"/>
      <c r="F337" s="13"/>
      <c r="G337" s="13"/>
      <c r="H337" s="13"/>
      <c r="I337" s="13"/>
      <c r="J337" s="13"/>
      <c r="K337" s="13"/>
      <c r="L337" s="13"/>
      <c r="M337" s="13"/>
    </row>
    <row r="338" spans="1:13" ht="12.75">
      <c r="A338" s="188">
        <v>335</v>
      </c>
      <c r="B338" s="13"/>
      <c r="C338" s="13"/>
      <c r="D338" s="13"/>
      <c r="E338" s="13"/>
      <c r="F338" s="13"/>
      <c r="G338" s="13"/>
      <c r="H338" s="13"/>
      <c r="I338" s="13"/>
      <c r="J338" s="13"/>
      <c r="K338" s="13"/>
      <c r="L338" s="13"/>
      <c r="M338" s="13"/>
    </row>
    <row r="339" spans="1:13" ht="12.75">
      <c r="A339" s="188">
        <v>336</v>
      </c>
      <c r="B339" s="13"/>
      <c r="C339" s="13"/>
      <c r="D339" s="13"/>
      <c r="E339" s="13"/>
      <c r="F339" s="13"/>
      <c r="G339" s="13"/>
      <c r="H339" s="13"/>
      <c r="I339" s="13"/>
      <c r="J339" s="13"/>
      <c r="K339" s="13"/>
      <c r="L339" s="13"/>
      <c r="M339" s="13"/>
    </row>
    <row r="340" spans="1:13" ht="12.75">
      <c r="A340" s="188">
        <v>337</v>
      </c>
      <c r="B340" s="13"/>
      <c r="C340" s="13"/>
      <c r="D340" s="13"/>
      <c r="E340" s="13"/>
      <c r="F340" s="13"/>
      <c r="G340" s="13"/>
      <c r="H340" s="13"/>
      <c r="I340" s="13"/>
      <c r="J340" s="13"/>
      <c r="K340" s="13"/>
      <c r="L340" s="13"/>
      <c r="M340" s="13"/>
    </row>
    <row r="341" spans="1:13" ht="12.75">
      <c r="A341" s="188">
        <v>338</v>
      </c>
      <c r="B341" s="13"/>
      <c r="C341" s="13"/>
      <c r="D341" s="13"/>
      <c r="E341" s="13"/>
      <c r="F341" s="13"/>
      <c r="G341" s="13"/>
      <c r="H341" s="13"/>
      <c r="I341" s="13"/>
      <c r="J341" s="13"/>
      <c r="K341" s="13"/>
      <c r="L341" s="13"/>
      <c r="M341" s="13"/>
    </row>
    <row r="342" spans="1:13" ht="12.75">
      <c r="A342" s="188">
        <v>339</v>
      </c>
      <c r="B342" s="13"/>
      <c r="C342" s="13"/>
      <c r="D342" s="13"/>
      <c r="E342" s="13"/>
      <c r="F342" s="13"/>
      <c r="G342" s="13"/>
      <c r="H342" s="13"/>
      <c r="I342" s="13"/>
      <c r="J342" s="13"/>
      <c r="K342" s="13"/>
      <c r="L342" s="13"/>
      <c r="M342" s="13"/>
    </row>
    <row r="343" spans="1:13" ht="12.75">
      <c r="A343" s="188">
        <v>340</v>
      </c>
      <c r="B343" s="13"/>
      <c r="C343" s="13"/>
      <c r="D343" s="13"/>
      <c r="E343" s="13"/>
      <c r="F343" s="13"/>
      <c r="G343" s="13"/>
      <c r="H343" s="13"/>
      <c r="I343" s="13"/>
      <c r="J343" s="13"/>
      <c r="K343" s="13"/>
      <c r="L343" s="13"/>
      <c r="M343" s="13"/>
    </row>
    <row r="344" spans="1:13" ht="12.75">
      <c r="A344" s="188">
        <v>341</v>
      </c>
      <c r="B344" s="13"/>
      <c r="C344" s="13"/>
      <c r="D344" s="13"/>
      <c r="E344" s="13"/>
      <c r="F344" s="13"/>
      <c r="G344" s="13"/>
      <c r="H344" s="13"/>
      <c r="I344" s="13"/>
      <c r="J344" s="13"/>
      <c r="K344" s="13"/>
      <c r="L344" s="13"/>
      <c r="M344" s="13"/>
    </row>
    <row r="345" spans="1:13" ht="12.75">
      <c r="A345" s="188">
        <v>342</v>
      </c>
      <c r="B345" s="13"/>
      <c r="C345" s="13"/>
      <c r="D345" s="13"/>
      <c r="E345" s="13"/>
      <c r="F345" s="13"/>
      <c r="G345" s="13"/>
      <c r="H345" s="13"/>
      <c r="I345" s="13"/>
      <c r="J345" s="13"/>
      <c r="K345" s="13"/>
      <c r="L345" s="13"/>
      <c r="M345" s="13"/>
    </row>
    <row r="346" spans="1:13" ht="12.75">
      <c r="A346" s="188">
        <v>343</v>
      </c>
      <c r="B346" s="13"/>
      <c r="C346" s="13"/>
      <c r="D346" s="13"/>
      <c r="E346" s="13"/>
      <c r="F346" s="13"/>
      <c r="G346" s="13"/>
      <c r="H346" s="13"/>
      <c r="I346" s="13"/>
      <c r="J346" s="13"/>
      <c r="K346" s="13"/>
      <c r="L346" s="13"/>
      <c r="M346" s="13"/>
    </row>
    <row r="347" spans="1:13" ht="12.75">
      <c r="A347" s="188">
        <v>344</v>
      </c>
      <c r="B347" s="13"/>
      <c r="C347" s="13"/>
      <c r="D347" s="13"/>
      <c r="E347" s="13"/>
      <c r="F347" s="13"/>
      <c r="G347" s="13"/>
      <c r="H347" s="13"/>
      <c r="I347" s="13"/>
      <c r="J347" s="13"/>
      <c r="K347" s="13"/>
      <c r="L347" s="13"/>
      <c r="M347" s="13"/>
    </row>
    <row r="348" spans="1:13" ht="12.75">
      <c r="A348" s="188">
        <v>345</v>
      </c>
      <c r="B348" s="13"/>
      <c r="C348" s="13"/>
      <c r="D348" s="13"/>
      <c r="E348" s="13"/>
      <c r="F348" s="13"/>
      <c r="G348" s="13"/>
      <c r="H348" s="13"/>
      <c r="I348" s="13"/>
      <c r="J348" s="13"/>
      <c r="K348" s="13"/>
      <c r="L348" s="13"/>
      <c r="M348" s="13"/>
    </row>
    <row r="349" spans="1:13" ht="12.75">
      <c r="A349" s="188">
        <v>346</v>
      </c>
      <c r="B349" s="13"/>
      <c r="C349" s="13"/>
      <c r="D349" s="13"/>
      <c r="E349" s="13"/>
      <c r="F349" s="13"/>
      <c r="G349" s="13"/>
      <c r="H349" s="13"/>
      <c r="I349" s="13"/>
      <c r="J349" s="13"/>
      <c r="K349" s="13"/>
      <c r="L349" s="13"/>
      <c r="M349" s="13"/>
    </row>
    <row r="350" spans="1:13" ht="12.75">
      <c r="A350" s="188">
        <v>347</v>
      </c>
      <c r="B350" s="13"/>
      <c r="C350" s="13"/>
      <c r="D350" s="13"/>
      <c r="E350" s="13"/>
      <c r="F350" s="13"/>
      <c r="G350" s="13"/>
      <c r="H350" s="13"/>
      <c r="I350" s="13"/>
      <c r="J350" s="13"/>
      <c r="K350" s="13"/>
      <c r="L350" s="13"/>
      <c r="M350" s="13"/>
    </row>
    <row r="351" spans="1:13" ht="12.75">
      <c r="A351" s="188">
        <v>348</v>
      </c>
      <c r="B351" s="13"/>
      <c r="C351" s="13"/>
      <c r="D351" s="13"/>
      <c r="E351" s="13"/>
      <c r="F351" s="13"/>
      <c r="G351" s="13"/>
      <c r="H351" s="13"/>
      <c r="I351" s="13"/>
      <c r="J351" s="13"/>
      <c r="K351" s="13"/>
      <c r="L351" s="13"/>
      <c r="M351" s="13"/>
    </row>
    <row r="352" spans="1:13" ht="12.75">
      <c r="A352" s="188">
        <v>349</v>
      </c>
      <c r="B352" s="13"/>
      <c r="C352" s="13"/>
      <c r="D352" s="13"/>
      <c r="E352" s="13"/>
      <c r="F352" s="13"/>
      <c r="G352" s="13"/>
      <c r="H352" s="13"/>
      <c r="I352" s="13"/>
      <c r="J352" s="13"/>
      <c r="K352" s="13"/>
      <c r="L352" s="13"/>
      <c r="M352" s="13"/>
    </row>
    <row r="353" spans="1:13" ht="12.75">
      <c r="A353" s="188">
        <v>350</v>
      </c>
      <c r="B353" s="13"/>
      <c r="C353" s="13"/>
      <c r="D353" s="13"/>
      <c r="E353" s="13"/>
      <c r="F353" s="13"/>
      <c r="G353" s="13"/>
      <c r="H353" s="13"/>
      <c r="I353" s="13"/>
      <c r="J353" s="13"/>
      <c r="K353" s="13"/>
      <c r="L353" s="13"/>
      <c r="M353" s="13"/>
    </row>
    <row r="354" spans="1:13" ht="12.75">
      <c r="A354" s="188">
        <v>351</v>
      </c>
      <c r="B354" s="13"/>
      <c r="C354" s="13"/>
      <c r="D354" s="13"/>
      <c r="E354" s="13"/>
      <c r="F354" s="13"/>
      <c r="G354" s="13"/>
      <c r="H354" s="13"/>
      <c r="I354" s="13"/>
      <c r="J354" s="13"/>
      <c r="K354" s="13"/>
      <c r="L354" s="13"/>
      <c r="M354" s="13"/>
    </row>
    <row r="355" spans="1:13" ht="12.75">
      <c r="A355" s="188">
        <v>352</v>
      </c>
      <c r="B355" s="13"/>
      <c r="C355" s="13"/>
      <c r="D355" s="13"/>
      <c r="E355" s="13"/>
      <c r="F355" s="13"/>
      <c r="G355" s="13"/>
      <c r="H355" s="13"/>
      <c r="I355" s="13"/>
      <c r="J355" s="13"/>
      <c r="K355" s="13"/>
      <c r="L355" s="13"/>
      <c r="M355" s="13"/>
    </row>
    <row r="356" spans="1:13" ht="12.75">
      <c r="A356" s="188">
        <v>353</v>
      </c>
      <c r="B356" s="13"/>
      <c r="C356" s="13"/>
      <c r="D356" s="13"/>
      <c r="E356" s="13"/>
      <c r="F356" s="13"/>
      <c r="G356" s="13"/>
      <c r="H356" s="13"/>
      <c r="I356" s="13"/>
      <c r="J356" s="13"/>
      <c r="K356" s="13"/>
      <c r="L356" s="13"/>
      <c r="M356" s="13"/>
    </row>
    <row r="357" spans="1:13" ht="12.75">
      <c r="A357" s="188">
        <v>354</v>
      </c>
      <c r="B357" s="13"/>
      <c r="C357" s="13"/>
      <c r="D357" s="13"/>
      <c r="E357" s="13"/>
      <c r="F357" s="13"/>
      <c r="G357" s="13"/>
      <c r="H357" s="13"/>
      <c r="I357" s="13"/>
      <c r="J357" s="13"/>
      <c r="K357" s="13"/>
      <c r="L357" s="13"/>
      <c r="M357" s="13"/>
    </row>
    <row r="358" spans="1:13" ht="12.75">
      <c r="A358" s="188">
        <v>355</v>
      </c>
      <c r="B358" s="13"/>
      <c r="C358" s="13"/>
      <c r="D358" s="13"/>
      <c r="E358" s="13"/>
      <c r="F358" s="13"/>
      <c r="G358" s="13"/>
      <c r="H358" s="13"/>
      <c r="I358" s="13"/>
      <c r="J358" s="13"/>
      <c r="K358" s="13"/>
      <c r="L358" s="13"/>
      <c r="M358" s="13"/>
    </row>
    <row r="359" spans="1:13" ht="12.75">
      <c r="A359" s="188">
        <v>356</v>
      </c>
      <c r="B359" s="13"/>
      <c r="C359" s="13"/>
      <c r="D359" s="13"/>
      <c r="E359" s="13"/>
      <c r="F359" s="13"/>
      <c r="G359" s="13"/>
      <c r="H359" s="13"/>
      <c r="I359" s="13"/>
      <c r="J359" s="13"/>
      <c r="K359" s="13"/>
      <c r="L359" s="13"/>
      <c r="M359" s="13"/>
    </row>
    <row r="360" spans="1:13" ht="12.75">
      <c r="A360" s="188">
        <v>357</v>
      </c>
      <c r="B360" s="13"/>
      <c r="C360" s="13"/>
      <c r="D360" s="13"/>
      <c r="E360" s="13"/>
      <c r="F360" s="13"/>
      <c r="G360" s="13"/>
      <c r="H360" s="13"/>
      <c r="I360" s="13"/>
      <c r="J360" s="13"/>
      <c r="K360" s="13"/>
      <c r="L360" s="13"/>
      <c r="M360" s="13"/>
    </row>
    <row r="361" spans="1:13" ht="12.75">
      <c r="A361" s="188">
        <v>358</v>
      </c>
      <c r="B361" s="13"/>
      <c r="C361" s="13"/>
      <c r="D361" s="13"/>
      <c r="E361" s="13"/>
      <c r="F361" s="13"/>
      <c r="G361" s="13"/>
      <c r="H361" s="13"/>
      <c r="I361" s="13"/>
      <c r="J361" s="13"/>
      <c r="K361" s="13"/>
      <c r="L361" s="13"/>
      <c r="M361" s="13"/>
    </row>
    <row r="362" spans="1:13" ht="12.75">
      <c r="A362" s="188">
        <v>359</v>
      </c>
      <c r="B362" s="13"/>
      <c r="C362" s="13"/>
      <c r="D362" s="13"/>
      <c r="E362" s="13"/>
      <c r="F362" s="13"/>
      <c r="G362" s="13"/>
      <c r="H362" s="13"/>
      <c r="I362" s="13"/>
      <c r="J362" s="13"/>
      <c r="K362" s="13"/>
      <c r="L362" s="13"/>
      <c r="M362" s="13"/>
    </row>
    <row r="363" spans="1:13" ht="12.75">
      <c r="A363" s="188">
        <v>360</v>
      </c>
      <c r="B363" s="13"/>
      <c r="C363" s="13"/>
      <c r="D363" s="13"/>
      <c r="E363" s="13"/>
      <c r="F363" s="13"/>
      <c r="G363" s="13"/>
      <c r="H363" s="13"/>
      <c r="I363" s="13"/>
      <c r="J363" s="13"/>
      <c r="K363" s="13"/>
      <c r="L363" s="13"/>
      <c r="M363" s="13"/>
    </row>
    <row r="364" spans="1:13" ht="12.75">
      <c r="A364" s="188">
        <v>361</v>
      </c>
      <c r="B364" s="13"/>
      <c r="C364" s="13"/>
      <c r="D364" s="13"/>
      <c r="E364" s="13"/>
      <c r="F364" s="13"/>
      <c r="G364" s="13"/>
      <c r="H364" s="13"/>
      <c r="I364" s="13"/>
      <c r="J364" s="13"/>
      <c r="K364" s="13"/>
      <c r="L364" s="13"/>
      <c r="M364" s="13"/>
    </row>
    <row r="365" spans="1:13" ht="12.75">
      <c r="A365" s="188">
        <v>362</v>
      </c>
      <c r="B365" s="13"/>
      <c r="C365" s="13"/>
      <c r="D365" s="13"/>
      <c r="E365" s="13"/>
      <c r="F365" s="13"/>
      <c r="G365" s="13"/>
      <c r="H365" s="13"/>
      <c r="I365" s="13"/>
      <c r="J365" s="13"/>
      <c r="K365" s="13"/>
      <c r="L365" s="13"/>
      <c r="M365" s="13"/>
    </row>
    <row r="366" spans="1:13" ht="12.75">
      <c r="A366" s="188">
        <v>363</v>
      </c>
      <c r="B366" s="13"/>
      <c r="C366" s="13"/>
      <c r="D366" s="13"/>
      <c r="E366" s="13"/>
      <c r="F366" s="13"/>
      <c r="G366" s="13"/>
      <c r="H366" s="13"/>
      <c r="I366" s="13"/>
      <c r="J366" s="13"/>
      <c r="K366" s="13"/>
      <c r="L366" s="13"/>
      <c r="M366" s="13"/>
    </row>
    <row r="367" spans="1:13" ht="12.75">
      <c r="A367" s="188">
        <v>364</v>
      </c>
      <c r="B367" s="13"/>
      <c r="C367" s="13"/>
      <c r="D367" s="13"/>
      <c r="E367" s="13"/>
      <c r="F367" s="13"/>
      <c r="G367" s="13"/>
      <c r="H367" s="13"/>
      <c r="I367" s="13"/>
      <c r="J367" s="13"/>
      <c r="K367" s="13"/>
      <c r="L367" s="13"/>
      <c r="M367" s="13"/>
    </row>
    <row r="368" spans="1:13" ht="12.75">
      <c r="A368" s="188">
        <v>365</v>
      </c>
      <c r="B368" s="13"/>
      <c r="C368" s="13"/>
      <c r="D368" s="13"/>
      <c r="E368" s="13"/>
      <c r="F368" s="13"/>
      <c r="G368" s="13"/>
      <c r="H368" s="13"/>
      <c r="I368" s="13"/>
      <c r="J368" s="13"/>
      <c r="K368" s="13"/>
      <c r="L368" s="13"/>
      <c r="M368" s="13"/>
    </row>
    <row r="369" spans="1:13" ht="12.75">
      <c r="A369" s="188">
        <v>366</v>
      </c>
      <c r="B369" s="13"/>
      <c r="C369" s="13"/>
      <c r="D369" s="13"/>
      <c r="E369" s="13"/>
      <c r="F369" s="13"/>
      <c r="G369" s="13"/>
      <c r="H369" s="13"/>
      <c r="I369" s="13"/>
      <c r="J369" s="13"/>
      <c r="K369" s="13"/>
      <c r="L369" s="13"/>
      <c r="M369" s="13"/>
    </row>
    <row r="370" spans="1:13" ht="12.75">
      <c r="A370" s="188">
        <v>367</v>
      </c>
      <c r="B370" s="13"/>
      <c r="C370" s="13"/>
      <c r="D370" s="13"/>
      <c r="E370" s="13"/>
      <c r="F370" s="13"/>
      <c r="G370" s="13"/>
      <c r="H370" s="13"/>
      <c r="I370" s="13"/>
      <c r="J370" s="13"/>
      <c r="K370" s="13"/>
      <c r="L370" s="13"/>
      <c r="M370" s="13"/>
    </row>
    <row r="371" spans="1:13" ht="12.75">
      <c r="A371" s="188">
        <v>368</v>
      </c>
      <c r="B371" s="13"/>
      <c r="C371" s="13"/>
      <c r="D371" s="13"/>
      <c r="E371" s="13"/>
      <c r="F371" s="13"/>
      <c r="G371" s="13"/>
      <c r="H371" s="13"/>
      <c r="I371" s="13"/>
      <c r="J371" s="13"/>
      <c r="K371" s="13"/>
      <c r="L371" s="13"/>
      <c r="M371" s="13"/>
    </row>
    <row r="372" spans="1:13" ht="12.75">
      <c r="A372" s="188">
        <v>369</v>
      </c>
      <c r="B372" s="13"/>
      <c r="C372" s="13"/>
      <c r="D372" s="13"/>
      <c r="E372" s="13"/>
      <c r="F372" s="13"/>
      <c r="G372" s="13"/>
      <c r="H372" s="13"/>
      <c r="I372" s="13"/>
      <c r="J372" s="13"/>
      <c r="K372" s="13"/>
      <c r="L372" s="13"/>
      <c r="M372" s="13"/>
    </row>
    <row r="373" spans="1:13" ht="12.75">
      <c r="A373" s="188">
        <v>370</v>
      </c>
      <c r="B373" s="13"/>
      <c r="C373" s="13"/>
      <c r="D373" s="13"/>
      <c r="E373" s="13"/>
      <c r="F373" s="13"/>
      <c r="G373" s="13"/>
      <c r="H373" s="13"/>
      <c r="I373" s="13"/>
      <c r="J373" s="13"/>
      <c r="K373" s="13"/>
      <c r="L373" s="13"/>
      <c r="M373" s="13"/>
    </row>
    <row r="374" spans="1:13" ht="12.75">
      <c r="A374" s="188">
        <v>371</v>
      </c>
      <c r="B374" s="13"/>
      <c r="C374" s="13"/>
      <c r="D374" s="13"/>
      <c r="E374" s="13"/>
      <c r="F374" s="13"/>
      <c r="G374" s="13"/>
      <c r="H374" s="13"/>
      <c r="I374" s="13"/>
      <c r="J374" s="13"/>
      <c r="K374" s="13"/>
      <c r="L374" s="13"/>
      <c r="M374" s="13"/>
    </row>
    <row r="375" spans="1:13" ht="12.75">
      <c r="A375" s="188">
        <v>372</v>
      </c>
      <c r="B375" s="13"/>
      <c r="C375" s="13"/>
      <c r="D375" s="13"/>
      <c r="E375" s="13"/>
      <c r="F375" s="13"/>
      <c r="G375" s="13"/>
      <c r="H375" s="13"/>
      <c r="I375" s="13"/>
      <c r="J375" s="13"/>
      <c r="K375" s="13"/>
      <c r="L375" s="13"/>
      <c r="M375" s="13"/>
    </row>
    <row r="376" spans="1:13" ht="12.75">
      <c r="A376" s="188">
        <v>373</v>
      </c>
      <c r="B376" s="13"/>
      <c r="C376" s="13"/>
      <c r="D376" s="13"/>
      <c r="E376" s="13"/>
      <c r="F376" s="13"/>
      <c r="G376" s="13"/>
      <c r="H376" s="13"/>
      <c r="I376" s="13"/>
      <c r="J376" s="13"/>
      <c r="K376" s="13"/>
      <c r="L376" s="13"/>
      <c r="M376" s="13"/>
    </row>
    <row r="377" spans="1:13" ht="12.75">
      <c r="A377" s="188">
        <v>374</v>
      </c>
      <c r="B377" s="13"/>
      <c r="C377" s="13"/>
      <c r="D377" s="13"/>
      <c r="E377" s="13"/>
      <c r="F377" s="13"/>
      <c r="G377" s="13"/>
      <c r="H377" s="13"/>
      <c r="I377" s="13"/>
      <c r="J377" s="13"/>
      <c r="K377" s="13"/>
      <c r="L377" s="13"/>
      <c r="M377" s="13"/>
    </row>
    <row r="378" spans="1:13" ht="12.75">
      <c r="A378" s="188">
        <v>375</v>
      </c>
      <c r="B378" s="13"/>
      <c r="C378" s="13"/>
      <c r="D378" s="13"/>
      <c r="E378" s="13"/>
      <c r="F378" s="13"/>
      <c r="G378" s="13"/>
      <c r="H378" s="13"/>
      <c r="I378" s="13"/>
      <c r="J378" s="13"/>
      <c r="K378" s="13"/>
      <c r="L378" s="13"/>
      <c r="M378" s="13"/>
    </row>
    <row r="379" spans="1:13" ht="12.75">
      <c r="A379" s="188">
        <v>376</v>
      </c>
      <c r="B379" s="13"/>
      <c r="C379" s="13"/>
      <c r="D379" s="13"/>
      <c r="E379" s="13"/>
      <c r="F379" s="13"/>
      <c r="G379" s="13"/>
      <c r="H379" s="13"/>
      <c r="I379" s="13"/>
      <c r="J379" s="13"/>
      <c r="K379" s="13"/>
      <c r="L379" s="13"/>
      <c r="M379" s="13"/>
    </row>
    <row r="380" spans="1:13" ht="12.75">
      <c r="A380" s="188">
        <v>377</v>
      </c>
      <c r="B380" s="13"/>
      <c r="C380" s="13"/>
      <c r="D380" s="13"/>
      <c r="E380" s="13"/>
      <c r="F380" s="13"/>
      <c r="G380" s="13"/>
      <c r="H380" s="13"/>
      <c r="I380" s="13"/>
      <c r="J380" s="13"/>
      <c r="K380" s="13"/>
      <c r="L380" s="13"/>
      <c r="M380" s="13"/>
    </row>
    <row r="381" spans="1:13" ht="12.75">
      <c r="A381" s="188">
        <v>378</v>
      </c>
      <c r="B381" s="13"/>
      <c r="C381" s="13"/>
      <c r="D381" s="13"/>
      <c r="E381" s="13"/>
      <c r="F381" s="13"/>
      <c r="G381" s="13"/>
      <c r="H381" s="13"/>
      <c r="I381" s="13"/>
      <c r="J381" s="13"/>
      <c r="K381" s="13"/>
      <c r="L381" s="13"/>
      <c r="M381" s="13"/>
    </row>
    <row r="382" spans="1:13" ht="12.75">
      <c r="A382" s="188">
        <v>379</v>
      </c>
      <c r="B382" s="13"/>
      <c r="C382" s="13"/>
      <c r="D382" s="13"/>
      <c r="E382" s="13"/>
      <c r="F382" s="13"/>
      <c r="G382" s="13"/>
      <c r="H382" s="13"/>
      <c r="I382" s="13"/>
      <c r="J382" s="13"/>
      <c r="K382" s="13"/>
      <c r="L382" s="13"/>
      <c r="M382" s="13"/>
    </row>
    <row r="383" spans="1:13" ht="12.75">
      <c r="A383" s="188">
        <v>380</v>
      </c>
      <c r="B383" s="13"/>
      <c r="C383" s="13"/>
      <c r="D383" s="13"/>
      <c r="E383" s="13"/>
      <c r="F383" s="13"/>
      <c r="G383" s="13"/>
      <c r="H383" s="13"/>
      <c r="I383" s="13"/>
      <c r="J383" s="13"/>
      <c r="K383" s="13"/>
      <c r="L383" s="13"/>
      <c r="M383" s="13"/>
    </row>
    <row r="384" spans="1:13" ht="12.75">
      <c r="A384" s="188">
        <v>381</v>
      </c>
      <c r="B384" s="13"/>
      <c r="C384" s="13"/>
      <c r="D384" s="13"/>
      <c r="E384" s="13"/>
      <c r="F384" s="13"/>
      <c r="G384" s="13"/>
      <c r="H384" s="13"/>
      <c r="I384" s="13"/>
      <c r="J384" s="13"/>
      <c r="K384" s="13"/>
      <c r="L384" s="13"/>
      <c r="M384" s="13"/>
    </row>
    <row r="385" spans="1:13" ht="12.75">
      <c r="A385" s="188">
        <v>382</v>
      </c>
      <c r="B385" s="13"/>
      <c r="C385" s="13"/>
      <c r="D385" s="13"/>
      <c r="E385" s="13"/>
      <c r="F385" s="13"/>
      <c r="G385" s="13"/>
      <c r="H385" s="13"/>
      <c r="I385" s="13"/>
      <c r="J385" s="13"/>
      <c r="K385" s="13"/>
      <c r="L385" s="13"/>
      <c r="M385" s="13"/>
    </row>
    <row r="386" spans="1:13" ht="12.75">
      <c r="A386" s="188">
        <v>383</v>
      </c>
      <c r="B386" s="13"/>
      <c r="C386" s="13"/>
      <c r="D386" s="13"/>
      <c r="E386" s="13"/>
      <c r="F386" s="13"/>
      <c r="G386" s="13"/>
      <c r="H386" s="13"/>
      <c r="I386" s="13"/>
      <c r="J386" s="13"/>
      <c r="K386" s="13"/>
      <c r="L386" s="13"/>
      <c r="M386" s="13"/>
    </row>
    <row r="387" spans="1:13" ht="12.75">
      <c r="A387" s="188">
        <v>384</v>
      </c>
      <c r="B387" s="13"/>
      <c r="C387" s="13"/>
      <c r="D387" s="13"/>
      <c r="E387" s="13"/>
      <c r="F387" s="13"/>
      <c r="G387" s="13"/>
      <c r="H387" s="13"/>
      <c r="I387" s="13"/>
      <c r="J387" s="13"/>
      <c r="K387" s="13"/>
      <c r="L387" s="13"/>
      <c r="M387" s="13"/>
    </row>
    <row r="388" spans="1:13" ht="12.75">
      <c r="A388" s="188">
        <v>385</v>
      </c>
      <c r="B388" s="13"/>
      <c r="C388" s="13"/>
      <c r="D388" s="13"/>
      <c r="E388" s="13"/>
      <c r="F388" s="13"/>
      <c r="G388" s="13"/>
      <c r="H388" s="13"/>
      <c r="I388" s="13"/>
      <c r="J388" s="13"/>
      <c r="K388" s="13"/>
      <c r="L388" s="13"/>
      <c r="M388" s="13"/>
    </row>
    <row r="389" spans="1:13" ht="12.75">
      <c r="A389" s="188">
        <v>386</v>
      </c>
      <c r="B389" s="13"/>
      <c r="C389" s="13"/>
      <c r="D389" s="13"/>
      <c r="E389" s="13"/>
      <c r="F389" s="13"/>
      <c r="G389" s="13"/>
      <c r="H389" s="13"/>
      <c r="I389" s="13"/>
      <c r="J389" s="13"/>
      <c r="K389" s="13"/>
      <c r="L389" s="13"/>
      <c r="M389" s="13"/>
    </row>
    <row r="390" spans="1:13" ht="12.75">
      <c r="A390" s="188">
        <v>387</v>
      </c>
      <c r="B390" s="13"/>
      <c r="C390" s="13"/>
      <c r="D390" s="13"/>
      <c r="E390" s="13"/>
      <c r="F390" s="13"/>
      <c r="G390" s="13"/>
      <c r="H390" s="13"/>
      <c r="I390" s="13"/>
      <c r="J390" s="13"/>
      <c r="K390" s="13"/>
      <c r="L390" s="13"/>
      <c r="M390" s="13"/>
    </row>
    <row r="391" spans="1:13" ht="12.75">
      <c r="A391" s="188">
        <v>388</v>
      </c>
      <c r="B391" s="13"/>
      <c r="C391" s="13"/>
      <c r="D391" s="13"/>
      <c r="E391" s="13"/>
      <c r="F391" s="13"/>
      <c r="G391" s="13"/>
      <c r="H391" s="13"/>
      <c r="I391" s="13"/>
      <c r="J391" s="13"/>
      <c r="K391" s="13"/>
      <c r="L391" s="13"/>
      <c r="M391" s="13"/>
    </row>
    <row r="392" spans="1:13" ht="12.75">
      <c r="A392" s="188">
        <v>389</v>
      </c>
      <c r="B392" s="13"/>
      <c r="C392" s="13"/>
      <c r="D392" s="13"/>
      <c r="E392" s="13"/>
      <c r="F392" s="13"/>
      <c r="G392" s="13"/>
      <c r="H392" s="13"/>
      <c r="I392" s="13"/>
      <c r="J392" s="13"/>
      <c r="K392" s="13"/>
      <c r="L392" s="13"/>
      <c r="M392" s="13"/>
    </row>
    <row r="393" spans="1:13" ht="12.75">
      <c r="A393" s="188">
        <v>390</v>
      </c>
      <c r="B393" s="13"/>
      <c r="C393" s="13"/>
      <c r="D393" s="13"/>
      <c r="E393" s="13"/>
      <c r="F393" s="13"/>
      <c r="G393" s="13"/>
      <c r="H393" s="13"/>
      <c r="I393" s="13"/>
      <c r="J393" s="13"/>
      <c r="K393" s="13"/>
      <c r="L393" s="13"/>
      <c r="M393" s="13"/>
    </row>
    <row r="394" spans="1:13" ht="12.75">
      <c r="A394" s="188">
        <v>391</v>
      </c>
      <c r="B394" s="13"/>
      <c r="C394" s="13"/>
      <c r="D394" s="13"/>
      <c r="E394" s="13"/>
      <c r="F394" s="13"/>
      <c r="G394" s="13"/>
      <c r="H394" s="13"/>
      <c r="I394" s="13"/>
      <c r="J394" s="13"/>
      <c r="K394" s="13"/>
      <c r="L394" s="13"/>
      <c r="M394" s="13"/>
    </row>
    <row r="395" spans="1:13" ht="12.75">
      <c r="A395" s="188">
        <v>392</v>
      </c>
      <c r="B395" s="13"/>
      <c r="C395" s="13"/>
      <c r="D395" s="13"/>
      <c r="E395" s="13"/>
      <c r="F395" s="13"/>
      <c r="G395" s="13"/>
      <c r="H395" s="13"/>
      <c r="I395" s="13"/>
      <c r="J395" s="13"/>
      <c r="K395" s="13"/>
      <c r="L395" s="13"/>
      <c r="M395" s="13"/>
    </row>
    <row r="396" spans="1:13" ht="12.75">
      <c r="A396" s="188">
        <v>393</v>
      </c>
      <c r="B396" s="13"/>
      <c r="C396" s="13"/>
      <c r="D396" s="13"/>
      <c r="E396" s="13"/>
      <c r="F396" s="13"/>
      <c r="G396" s="13"/>
      <c r="H396" s="13"/>
      <c r="I396" s="13"/>
      <c r="J396" s="13"/>
      <c r="K396" s="13"/>
      <c r="L396" s="13"/>
      <c r="M396" s="13"/>
    </row>
    <row r="397" spans="1:13" ht="12.75">
      <c r="A397" s="188">
        <v>394</v>
      </c>
      <c r="B397" s="13"/>
      <c r="C397" s="13"/>
      <c r="D397" s="13"/>
      <c r="E397" s="13"/>
      <c r="F397" s="13"/>
      <c r="G397" s="13"/>
      <c r="H397" s="13"/>
      <c r="I397" s="13"/>
      <c r="J397" s="13"/>
      <c r="K397" s="13"/>
      <c r="L397" s="13"/>
      <c r="M397" s="13"/>
    </row>
    <row r="398" spans="1:13" ht="12.75">
      <c r="A398" s="188">
        <v>395</v>
      </c>
      <c r="B398" s="13"/>
      <c r="C398" s="13"/>
      <c r="D398" s="13"/>
      <c r="E398" s="13"/>
      <c r="F398" s="13"/>
      <c r="G398" s="13"/>
      <c r="H398" s="13"/>
      <c r="I398" s="13"/>
      <c r="J398" s="13"/>
      <c r="K398" s="13"/>
      <c r="L398" s="13"/>
      <c r="M398" s="13"/>
    </row>
    <row r="399" spans="1:13" ht="12.75">
      <c r="A399" s="188">
        <v>396</v>
      </c>
      <c r="B399" s="13"/>
      <c r="C399" s="13"/>
      <c r="D399" s="13"/>
      <c r="E399" s="13"/>
      <c r="F399" s="13"/>
      <c r="G399" s="13"/>
      <c r="H399" s="13"/>
      <c r="I399" s="13"/>
      <c r="J399" s="13"/>
      <c r="K399" s="13"/>
      <c r="L399" s="13"/>
      <c r="M399" s="13"/>
    </row>
    <row r="400" spans="1:13" ht="12.75">
      <c r="A400" s="188">
        <v>397</v>
      </c>
      <c r="B400" s="13"/>
      <c r="C400" s="13"/>
      <c r="D400" s="13"/>
      <c r="E400" s="13"/>
      <c r="F400" s="13"/>
      <c r="G400" s="13"/>
      <c r="H400" s="13"/>
      <c r="I400" s="13"/>
      <c r="J400" s="13"/>
      <c r="K400" s="13"/>
      <c r="L400" s="13"/>
      <c r="M400" s="13"/>
    </row>
    <row r="401" spans="1:13" ht="12.75">
      <c r="A401" s="188">
        <v>398</v>
      </c>
      <c r="B401" s="13"/>
      <c r="C401" s="13"/>
      <c r="D401" s="13"/>
      <c r="E401" s="13"/>
      <c r="F401" s="13"/>
      <c r="G401" s="13"/>
      <c r="H401" s="13"/>
      <c r="I401" s="13"/>
      <c r="J401" s="13"/>
      <c r="K401" s="13"/>
      <c r="L401" s="13"/>
      <c r="M401" s="13"/>
    </row>
    <row r="402" spans="1:13" ht="12.75">
      <c r="A402" s="188">
        <v>399</v>
      </c>
      <c r="B402" s="13"/>
      <c r="C402" s="13"/>
      <c r="D402" s="13"/>
      <c r="E402" s="13"/>
      <c r="F402" s="13"/>
      <c r="G402" s="13"/>
      <c r="H402" s="13"/>
      <c r="I402" s="13"/>
      <c r="J402" s="13"/>
      <c r="K402" s="13"/>
      <c r="L402" s="13"/>
      <c r="M402" s="13"/>
    </row>
    <row r="403" spans="1:13" ht="12.75">
      <c r="A403" s="188">
        <v>400</v>
      </c>
      <c r="B403" s="13"/>
      <c r="C403" s="13"/>
      <c r="D403" s="13"/>
      <c r="E403" s="13"/>
      <c r="F403" s="13"/>
      <c r="G403" s="13"/>
      <c r="H403" s="13"/>
      <c r="I403" s="13"/>
      <c r="J403" s="13"/>
      <c r="K403" s="13"/>
      <c r="L403" s="13"/>
      <c r="M403" s="13"/>
    </row>
    <row r="404" spans="1:13" ht="12.75">
      <c r="A404" s="188">
        <v>401</v>
      </c>
      <c r="B404" s="13"/>
      <c r="C404" s="13"/>
      <c r="D404" s="13"/>
      <c r="E404" s="13"/>
      <c r="F404" s="13"/>
      <c r="G404" s="13"/>
      <c r="H404" s="13"/>
      <c r="I404" s="13"/>
      <c r="J404" s="13"/>
      <c r="K404" s="13"/>
      <c r="L404" s="13"/>
      <c r="M404" s="13"/>
    </row>
    <row r="405" spans="1:13" ht="12.75">
      <c r="A405" s="188">
        <v>402</v>
      </c>
      <c r="B405" s="13"/>
      <c r="C405" s="13"/>
      <c r="D405" s="13"/>
      <c r="E405" s="13"/>
      <c r="F405" s="13"/>
      <c r="G405" s="13"/>
      <c r="H405" s="13"/>
      <c r="I405" s="13"/>
      <c r="J405" s="13"/>
      <c r="K405" s="13"/>
      <c r="L405" s="13"/>
      <c r="M405" s="13"/>
    </row>
    <row r="406" spans="1:13" ht="12.75">
      <c r="A406" s="188">
        <v>403</v>
      </c>
      <c r="B406" s="13"/>
      <c r="C406" s="13"/>
      <c r="D406" s="13"/>
      <c r="E406" s="13"/>
      <c r="F406" s="13"/>
      <c r="G406" s="13"/>
      <c r="H406" s="13"/>
      <c r="I406" s="13"/>
      <c r="J406" s="13"/>
      <c r="K406" s="13"/>
      <c r="L406" s="13"/>
      <c r="M406" s="13"/>
    </row>
    <row r="407" spans="1:13" ht="12.75">
      <c r="A407" s="188">
        <v>404</v>
      </c>
      <c r="B407" s="13"/>
      <c r="C407" s="13"/>
      <c r="D407" s="13"/>
      <c r="E407" s="13"/>
      <c r="F407" s="13"/>
      <c r="G407" s="13"/>
      <c r="H407" s="13"/>
      <c r="I407" s="13"/>
      <c r="J407" s="13"/>
      <c r="K407" s="13"/>
      <c r="L407" s="13"/>
      <c r="M407" s="13"/>
    </row>
    <row r="408" spans="1:13" ht="12.75">
      <c r="A408" s="188">
        <v>405</v>
      </c>
      <c r="B408" s="13"/>
      <c r="C408" s="13"/>
      <c r="D408" s="13"/>
      <c r="E408" s="13"/>
      <c r="F408" s="13"/>
      <c r="G408" s="13"/>
      <c r="H408" s="13"/>
      <c r="I408" s="13"/>
      <c r="J408" s="13"/>
      <c r="K408" s="13"/>
      <c r="L408" s="13"/>
      <c r="M408" s="13"/>
    </row>
    <row r="409" spans="1:13" ht="12.75">
      <c r="A409" s="188">
        <v>406</v>
      </c>
      <c r="B409" s="13"/>
      <c r="C409" s="13"/>
      <c r="D409" s="13"/>
      <c r="E409" s="13"/>
      <c r="F409" s="13"/>
      <c r="G409" s="13"/>
      <c r="H409" s="13"/>
      <c r="I409" s="13"/>
      <c r="J409" s="13"/>
      <c r="K409" s="13"/>
      <c r="L409" s="13"/>
      <c r="M409" s="13"/>
    </row>
    <row r="410" spans="1:13" ht="12.75">
      <c r="A410" s="188">
        <v>407</v>
      </c>
      <c r="B410" s="13"/>
      <c r="C410" s="13"/>
      <c r="D410" s="13"/>
      <c r="E410" s="13"/>
      <c r="F410" s="13"/>
      <c r="G410" s="13"/>
      <c r="H410" s="13"/>
      <c r="I410" s="13"/>
      <c r="J410" s="13"/>
      <c r="K410" s="13"/>
      <c r="L410" s="13"/>
      <c r="M410" s="13"/>
    </row>
    <row r="411" spans="1:13" ht="12.75">
      <c r="A411" s="188">
        <v>408</v>
      </c>
      <c r="B411" s="13"/>
      <c r="C411" s="13"/>
      <c r="D411" s="13"/>
      <c r="E411" s="13"/>
      <c r="F411" s="13"/>
      <c r="G411" s="13"/>
      <c r="H411" s="13"/>
      <c r="I411" s="13"/>
      <c r="J411" s="13"/>
      <c r="K411" s="13"/>
      <c r="L411" s="13"/>
      <c r="M411" s="13"/>
    </row>
    <row r="412" spans="1:13" ht="12.75">
      <c r="A412" s="188">
        <v>409</v>
      </c>
      <c r="B412" s="13"/>
      <c r="C412" s="13"/>
      <c r="D412" s="13"/>
      <c r="E412" s="13"/>
      <c r="F412" s="13"/>
      <c r="G412" s="13"/>
      <c r="H412" s="13"/>
      <c r="I412" s="13"/>
      <c r="J412" s="13"/>
      <c r="K412" s="13"/>
      <c r="L412" s="13"/>
      <c r="M412" s="13"/>
    </row>
    <row r="413" spans="1:13" ht="12.75">
      <c r="A413" s="188">
        <v>410</v>
      </c>
      <c r="B413" s="13"/>
      <c r="C413" s="13"/>
      <c r="D413" s="13"/>
      <c r="E413" s="13"/>
      <c r="F413" s="13"/>
      <c r="G413" s="13"/>
      <c r="H413" s="13"/>
      <c r="I413" s="13"/>
      <c r="J413" s="13"/>
      <c r="K413" s="13"/>
      <c r="L413" s="13"/>
      <c r="M413" s="13"/>
    </row>
    <row r="414" spans="1:13" ht="12.75">
      <c r="A414" s="188">
        <v>411</v>
      </c>
      <c r="B414" s="13"/>
      <c r="C414" s="13"/>
      <c r="D414" s="13"/>
      <c r="E414" s="13"/>
      <c r="F414" s="13"/>
      <c r="G414" s="13"/>
      <c r="H414" s="13"/>
      <c r="I414" s="13"/>
      <c r="J414" s="13"/>
      <c r="K414" s="13"/>
      <c r="L414" s="13"/>
      <c r="M414" s="13"/>
    </row>
    <row r="415" spans="1:13" ht="12.75">
      <c r="A415" s="188">
        <v>412</v>
      </c>
      <c r="B415" s="13"/>
      <c r="C415" s="13"/>
      <c r="D415" s="13"/>
      <c r="E415" s="13"/>
      <c r="F415" s="13"/>
      <c r="G415" s="13"/>
      <c r="H415" s="13"/>
      <c r="I415" s="13"/>
      <c r="J415" s="13"/>
      <c r="K415" s="13"/>
      <c r="L415" s="13"/>
      <c r="M415" s="13"/>
    </row>
    <row r="416" spans="1:13" ht="12.75">
      <c r="A416" s="188">
        <v>413</v>
      </c>
      <c r="B416" s="13"/>
      <c r="C416" s="13"/>
      <c r="D416" s="13"/>
      <c r="E416" s="13"/>
      <c r="F416" s="13"/>
      <c r="G416" s="13"/>
      <c r="H416" s="13"/>
      <c r="I416" s="13"/>
      <c r="J416" s="13"/>
      <c r="K416" s="13"/>
      <c r="L416" s="13"/>
      <c r="M416" s="13"/>
    </row>
    <row r="417" spans="1:13" ht="12.75">
      <c r="A417" s="188">
        <v>414</v>
      </c>
      <c r="B417" s="13"/>
      <c r="C417" s="13"/>
      <c r="D417" s="13"/>
      <c r="E417" s="13"/>
      <c r="F417" s="13"/>
      <c r="G417" s="13"/>
      <c r="H417" s="13"/>
      <c r="I417" s="13"/>
      <c r="J417" s="13"/>
      <c r="K417" s="13"/>
      <c r="L417" s="13"/>
      <c r="M417" s="13"/>
    </row>
    <row r="418" spans="1:13" ht="12.75">
      <c r="A418" s="188">
        <v>415</v>
      </c>
      <c r="B418" s="13"/>
      <c r="C418" s="13"/>
      <c r="D418" s="13"/>
      <c r="E418" s="13"/>
      <c r="F418" s="13"/>
      <c r="G418" s="13"/>
      <c r="H418" s="13"/>
      <c r="I418" s="13"/>
      <c r="J418" s="13"/>
      <c r="K418" s="13"/>
      <c r="L418" s="13"/>
      <c r="M418" s="13"/>
    </row>
    <row r="419" spans="1:13" ht="12.75">
      <c r="A419" s="188">
        <v>416</v>
      </c>
      <c r="B419" s="13"/>
      <c r="C419" s="13"/>
      <c r="D419" s="13"/>
      <c r="E419" s="13"/>
      <c r="F419" s="13"/>
      <c r="G419" s="13"/>
      <c r="H419" s="13"/>
      <c r="I419" s="13"/>
      <c r="J419" s="13"/>
      <c r="K419" s="13"/>
      <c r="L419" s="13"/>
      <c r="M419" s="13"/>
    </row>
    <row r="420" spans="1:13" ht="12.75">
      <c r="A420" s="188">
        <v>417</v>
      </c>
      <c r="B420" s="13"/>
      <c r="C420" s="13"/>
      <c r="D420" s="13"/>
      <c r="E420" s="13"/>
      <c r="F420" s="13"/>
      <c r="G420" s="13"/>
      <c r="H420" s="13"/>
      <c r="I420" s="13"/>
      <c r="J420" s="13"/>
      <c r="K420" s="13"/>
      <c r="L420" s="13"/>
      <c r="M420" s="13"/>
    </row>
    <row r="421" spans="1:13" ht="12.75">
      <c r="A421" s="188">
        <v>418</v>
      </c>
      <c r="B421" s="13"/>
      <c r="C421" s="13"/>
      <c r="D421" s="13"/>
      <c r="E421" s="13"/>
      <c r="F421" s="13"/>
      <c r="G421" s="13"/>
      <c r="H421" s="13"/>
      <c r="I421" s="13"/>
      <c r="J421" s="13"/>
      <c r="K421" s="13"/>
      <c r="L421" s="13"/>
      <c r="M421" s="13"/>
    </row>
    <row r="422" spans="1:13" ht="12.75">
      <c r="A422" s="188">
        <v>419</v>
      </c>
      <c r="B422" s="13"/>
      <c r="C422" s="13"/>
      <c r="D422" s="13"/>
      <c r="E422" s="13"/>
      <c r="F422" s="13"/>
      <c r="G422" s="13"/>
      <c r="H422" s="13"/>
      <c r="I422" s="13"/>
      <c r="J422" s="13"/>
      <c r="K422" s="13"/>
      <c r="L422" s="13"/>
      <c r="M422" s="13"/>
    </row>
    <row r="423" spans="1:13" ht="12.75">
      <c r="A423" s="188">
        <v>420</v>
      </c>
      <c r="B423" s="13"/>
      <c r="C423" s="13"/>
      <c r="D423" s="13"/>
      <c r="E423" s="13"/>
      <c r="F423" s="13"/>
      <c r="G423" s="13"/>
      <c r="H423" s="13"/>
      <c r="I423" s="13"/>
      <c r="J423" s="13"/>
      <c r="K423" s="13"/>
      <c r="L423" s="13"/>
      <c r="M423" s="13"/>
    </row>
    <row r="424" spans="1:13" ht="12.75">
      <c r="A424" s="188">
        <v>421</v>
      </c>
      <c r="B424" s="13"/>
      <c r="C424" s="13"/>
      <c r="D424" s="13"/>
      <c r="E424" s="13"/>
      <c r="F424" s="13"/>
      <c r="G424" s="13"/>
      <c r="H424" s="13"/>
      <c r="I424" s="13"/>
      <c r="J424" s="13"/>
      <c r="K424" s="13"/>
      <c r="L424" s="13"/>
      <c r="M424" s="13"/>
    </row>
    <row r="425" spans="1:13" ht="12.75">
      <c r="A425" s="188">
        <v>422</v>
      </c>
      <c r="B425" s="13"/>
      <c r="C425" s="13"/>
      <c r="D425" s="13"/>
      <c r="E425" s="13"/>
      <c r="F425" s="13"/>
      <c r="G425" s="13"/>
      <c r="H425" s="13"/>
      <c r="I425" s="13"/>
      <c r="J425" s="13"/>
      <c r="K425" s="13"/>
      <c r="L425" s="13"/>
      <c r="M425" s="13"/>
    </row>
    <row r="426" spans="1:13" ht="12.75">
      <c r="A426" s="188">
        <v>423</v>
      </c>
      <c r="B426" s="13"/>
      <c r="C426" s="13"/>
      <c r="D426" s="13"/>
      <c r="E426" s="13"/>
      <c r="F426" s="13"/>
      <c r="G426" s="13"/>
      <c r="H426" s="13"/>
      <c r="I426" s="13"/>
      <c r="J426" s="13"/>
      <c r="K426" s="13"/>
      <c r="L426" s="13"/>
      <c r="M426" s="13"/>
    </row>
    <row r="427" spans="1:13" ht="12.75">
      <c r="A427" s="188">
        <v>424</v>
      </c>
      <c r="B427" s="13"/>
      <c r="C427" s="13"/>
      <c r="D427" s="13"/>
      <c r="E427" s="13"/>
      <c r="F427" s="13"/>
      <c r="G427" s="13"/>
      <c r="H427" s="13"/>
      <c r="I427" s="13"/>
      <c r="J427" s="13"/>
      <c r="K427" s="13"/>
      <c r="L427" s="13"/>
      <c r="M427" s="13"/>
    </row>
    <row r="428" spans="1:13" ht="12.75">
      <c r="A428" s="188">
        <v>425</v>
      </c>
      <c r="B428" s="13"/>
      <c r="C428" s="13"/>
      <c r="D428" s="13"/>
      <c r="E428" s="13"/>
      <c r="F428" s="13"/>
      <c r="G428" s="13"/>
      <c r="H428" s="13"/>
      <c r="I428" s="13"/>
      <c r="J428" s="13"/>
      <c r="K428" s="13"/>
      <c r="L428" s="13"/>
      <c r="M428" s="13"/>
    </row>
    <row r="429" spans="1:13" ht="12.75">
      <c r="A429" s="188">
        <v>426</v>
      </c>
      <c r="B429" s="13"/>
      <c r="C429" s="13"/>
      <c r="D429" s="13"/>
      <c r="E429" s="13"/>
      <c r="F429" s="13"/>
      <c r="G429" s="13"/>
      <c r="H429" s="13"/>
      <c r="I429" s="13"/>
      <c r="J429" s="13"/>
      <c r="K429" s="13"/>
      <c r="L429" s="13"/>
      <c r="M429" s="13"/>
    </row>
    <row r="430" spans="1:13" ht="12.75">
      <c r="A430" s="188">
        <v>427</v>
      </c>
      <c r="B430" s="13"/>
      <c r="C430" s="13"/>
      <c r="D430" s="13"/>
      <c r="E430" s="13"/>
      <c r="F430" s="13"/>
      <c r="G430" s="13"/>
      <c r="H430" s="13"/>
      <c r="I430" s="13"/>
      <c r="J430" s="13"/>
      <c r="K430" s="13"/>
      <c r="L430" s="13"/>
      <c r="M430" s="13"/>
    </row>
    <row r="431" spans="1:13" ht="12.75">
      <c r="A431" s="188">
        <v>428</v>
      </c>
      <c r="B431" s="13"/>
      <c r="C431" s="13"/>
      <c r="D431" s="13"/>
      <c r="E431" s="13"/>
      <c r="F431" s="13"/>
      <c r="G431" s="13"/>
      <c r="H431" s="13"/>
      <c r="I431" s="13"/>
      <c r="J431" s="13"/>
      <c r="K431" s="13"/>
      <c r="L431" s="13"/>
      <c r="M431" s="13"/>
    </row>
    <row r="432" spans="1:13" ht="12.75">
      <c r="A432" s="188">
        <v>429</v>
      </c>
      <c r="B432" s="13"/>
      <c r="C432" s="13"/>
      <c r="D432" s="13"/>
      <c r="E432" s="13"/>
      <c r="F432" s="13"/>
      <c r="G432" s="13"/>
      <c r="H432" s="13"/>
      <c r="I432" s="13"/>
      <c r="J432" s="13"/>
      <c r="K432" s="13"/>
      <c r="L432" s="13"/>
      <c r="M432" s="13"/>
    </row>
    <row r="433" spans="1:13" ht="12.75">
      <c r="A433" s="188">
        <v>430</v>
      </c>
      <c r="B433" s="13"/>
      <c r="C433" s="13"/>
      <c r="D433" s="13"/>
      <c r="E433" s="13"/>
      <c r="F433" s="13"/>
      <c r="G433" s="13"/>
      <c r="H433" s="13"/>
      <c r="I433" s="13"/>
      <c r="J433" s="13"/>
      <c r="K433" s="13"/>
      <c r="L433" s="13"/>
      <c r="M433" s="13"/>
    </row>
    <row r="434" spans="1:13" ht="12.75">
      <c r="A434" s="188">
        <v>431</v>
      </c>
      <c r="B434" s="13"/>
      <c r="C434" s="13"/>
      <c r="D434" s="13"/>
      <c r="E434" s="13"/>
      <c r="F434" s="13"/>
      <c r="G434" s="13"/>
      <c r="H434" s="13"/>
      <c r="I434" s="13"/>
      <c r="J434" s="13"/>
      <c r="K434" s="13"/>
      <c r="L434" s="13"/>
      <c r="M434" s="13"/>
    </row>
    <row r="435" spans="1:13" ht="12.75">
      <c r="A435" s="188">
        <v>432</v>
      </c>
      <c r="B435" s="13"/>
      <c r="C435" s="13"/>
      <c r="D435" s="13"/>
      <c r="E435" s="13"/>
      <c r="F435" s="13"/>
      <c r="G435" s="13"/>
      <c r="H435" s="13"/>
      <c r="I435" s="13"/>
      <c r="J435" s="13"/>
      <c r="K435" s="13"/>
      <c r="L435" s="13"/>
      <c r="M435" s="13"/>
    </row>
    <row r="436" spans="1:13" ht="12.75">
      <c r="A436" s="188">
        <v>433</v>
      </c>
      <c r="B436" s="13"/>
      <c r="C436" s="13"/>
      <c r="D436" s="13"/>
      <c r="E436" s="13"/>
      <c r="F436" s="13"/>
      <c r="G436" s="13"/>
      <c r="H436" s="13"/>
      <c r="I436" s="13"/>
      <c r="J436" s="13"/>
      <c r="K436" s="13"/>
      <c r="L436" s="13"/>
      <c r="M436" s="13"/>
    </row>
    <row r="437" spans="1:13" ht="12.75">
      <c r="A437" s="188">
        <v>434</v>
      </c>
      <c r="B437" s="13"/>
      <c r="C437" s="13"/>
      <c r="D437" s="13"/>
      <c r="E437" s="13"/>
      <c r="F437" s="13"/>
      <c r="G437" s="13"/>
      <c r="H437" s="13"/>
      <c r="I437" s="13"/>
      <c r="J437" s="13"/>
      <c r="K437" s="13"/>
      <c r="L437" s="13"/>
      <c r="M437" s="13"/>
    </row>
    <row r="438" spans="1:13" ht="12.75">
      <c r="A438" s="188">
        <v>435</v>
      </c>
      <c r="B438" s="13"/>
      <c r="C438" s="13"/>
      <c r="D438" s="13"/>
      <c r="E438" s="13"/>
      <c r="F438" s="13"/>
      <c r="G438" s="13"/>
      <c r="H438" s="13"/>
      <c r="I438" s="13"/>
      <c r="J438" s="13"/>
      <c r="K438" s="13"/>
      <c r="L438" s="13"/>
      <c r="M438" s="13"/>
    </row>
    <row r="439" spans="1:13" ht="12.75">
      <c r="A439" s="188">
        <v>436</v>
      </c>
      <c r="B439" s="13"/>
      <c r="C439" s="13"/>
      <c r="D439" s="13"/>
      <c r="E439" s="13"/>
      <c r="F439" s="13"/>
      <c r="G439" s="13"/>
      <c r="H439" s="13"/>
      <c r="I439" s="13"/>
      <c r="J439" s="13"/>
      <c r="K439" s="13"/>
      <c r="L439" s="13"/>
      <c r="M439" s="13"/>
    </row>
    <row r="440" spans="1:13" ht="12.75">
      <c r="A440" s="188">
        <v>437</v>
      </c>
      <c r="B440" s="13"/>
      <c r="C440" s="13"/>
      <c r="D440" s="13"/>
      <c r="E440" s="13"/>
      <c r="F440" s="13"/>
      <c r="G440" s="13"/>
      <c r="H440" s="13"/>
      <c r="I440" s="13"/>
      <c r="J440" s="13"/>
      <c r="K440" s="13"/>
      <c r="L440" s="13"/>
      <c r="M440" s="13"/>
    </row>
    <row r="441" spans="1:13" ht="12.75">
      <c r="A441" s="188">
        <v>438</v>
      </c>
      <c r="B441" s="13"/>
      <c r="C441" s="13"/>
      <c r="D441" s="13"/>
      <c r="E441" s="13"/>
      <c r="F441" s="13"/>
      <c r="G441" s="13"/>
      <c r="H441" s="13"/>
      <c r="I441" s="13"/>
      <c r="J441" s="13"/>
      <c r="K441" s="13"/>
      <c r="L441" s="13"/>
      <c r="M441" s="13"/>
    </row>
    <row r="442" spans="1:13" ht="12.75">
      <c r="A442" s="188">
        <v>439</v>
      </c>
      <c r="B442" s="13"/>
      <c r="C442" s="13"/>
      <c r="D442" s="13"/>
      <c r="E442" s="13"/>
      <c r="F442" s="13"/>
      <c r="G442" s="13"/>
      <c r="H442" s="13"/>
      <c r="I442" s="13"/>
      <c r="J442" s="13"/>
      <c r="K442" s="13"/>
      <c r="L442" s="13"/>
      <c r="M442" s="13"/>
    </row>
    <row r="443" spans="1:13" ht="12.75">
      <c r="A443" s="188">
        <v>440</v>
      </c>
      <c r="B443" s="13"/>
      <c r="C443" s="13"/>
      <c r="D443" s="13"/>
      <c r="E443" s="13"/>
      <c r="F443" s="13"/>
      <c r="G443" s="13"/>
      <c r="H443" s="13"/>
      <c r="I443" s="13"/>
      <c r="J443" s="13"/>
      <c r="K443" s="13"/>
      <c r="L443" s="13"/>
      <c r="M443" s="13"/>
    </row>
    <row r="444" spans="1:13" ht="12.75">
      <c r="A444" s="188">
        <v>441</v>
      </c>
      <c r="B444" s="13"/>
      <c r="C444" s="13"/>
      <c r="D444" s="13"/>
      <c r="E444" s="13"/>
      <c r="F444" s="13"/>
      <c r="G444" s="13"/>
      <c r="H444" s="13"/>
      <c r="I444" s="13"/>
      <c r="J444" s="13"/>
      <c r="K444" s="13"/>
      <c r="L444" s="13"/>
      <c r="M444" s="13"/>
    </row>
    <row r="445" spans="1:13" ht="12.75">
      <c r="A445" s="188">
        <v>442</v>
      </c>
      <c r="B445" s="13"/>
      <c r="C445" s="13"/>
      <c r="D445" s="13"/>
      <c r="E445" s="13"/>
      <c r="F445" s="13"/>
      <c r="G445" s="13"/>
      <c r="H445" s="13"/>
      <c r="I445" s="13"/>
      <c r="J445" s="13"/>
      <c r="K445" s="13"/>
      <c r="L445" s="13"/>
      <c r="M445" s="13"/>
    </row>
    <row r="446" spans="1:13" ht="12.75">
      <c r="A446" s="188">
        <v>443</v>
      </c>
      <c r="B446" s="13"/>
      <c r="C446" s="13"/>
      <c r="D446" s="13"/>
      <c r="E446" s="13"/>
      <c r="F446" s="13"/>
      <c r="G446" s="13"/>
      <c r="H446" s="13"/>
      <c r="I446" s="13"/>
      <c r="J446" s="13"/>
      <c r="K446" s="13"/>
      <c r="L446" s="13"/>
      <c r="M446" s="13"/>
    </row>
    <row r="447" spans="1:13" ht="12.75">
      <c r="A447" s="188">
        <v>444</v>
      </c>
      <c r="B447" s="13"/>
      <c r="C447" s="13"/>
      <c r="D447" s="13"/>
      <c r="E447" s="13"/>
      <c r="F447" s="13"/>
      <c r="G447" s="13"/>
      <c r="H447" s="13"/>
      <c r="I447" s="13"/>
      <c r="J447" s="13"/>
      <c r="K447" s="13"/>
      <c r="L447" s="13"/>
      <c r="M447" s="13"/>
    </row>
    <row r="448" spans="1:13" ht="12.75">
      <c r="A448" s="188">
        <v>445</v>
      </c>
      <c r="B448" s="13"/>
      <c r="C448" s="13"/>
      <c r="D448" s="13"/>
      <c r="E448" s="13"/>
      <c r="F448" s="13"/>
      <c r="G448" s="13"/>
      <c r="H448" s="13"/>
      <c r="I448" s="13"/>
      <c r="J448" s="13"/>
      <c r="K448" s="13"/>
      <c r="L448" s="13"/>
      <c r="M448" s="13"/>
    </row>
    <row r="449" spans="1:13" ht="12.75">
      <c r="A449" s="188">
        <v>446</v>
      </c>
      <c r="B449" s="13"/>
      <c r="C449" s="13"/>
      <c r="D449" s="13"/>
      <c r="E449" s="13"/>
      <c r="F449" s="13"/>
      <c r="G449" s="13"/>
      <c r="H449" s="13"/>
      <c r="I449" s="13"/>
      <c r="J449" s="13"/>
      <c r="K449" s="13"/>
      <c r="L449" s="13"/>
      <c r="M449" s="13"/>
    </row>
    <row r="450" spans="1:13" ht="12.75">
      <c r="A450" s="188">
        <v>447</v>
      </c>
      <c r="B450" s="13"/>
      <c r="C450" s="13"/>
      <c r="D450" s="13"/>
      <c r="E450" s="13"/>
      <c r="F450" s="13"/>
      <c r="G450" s="13"/>
      <c r="H450" s="13"/>
      <c r="I450" s="13"/>
      <c r="J450" s="13"/>
      <c r="K450" s="13"/>
      <c r="L450" s="13"/>
      <c r="M450" s="13"/>
    </row>
    <row r="451" spans="1:13" ht="12.75">
      <c r="A451" s="188">
        <v>448</v>
      </c>
      <c r="B451" s="13"/>
      <c r="C451" s="13"/>
      <c r="D451" s="13"/>
      <c r="E451" s="13"/>
      <c r="F451" s="13"/>
      <c r="G451" s="13"/>
      <c r="H451" s="13"/>
      <c r="I451" s="13"/>
      <c r="J451" s="13"/>
      <c r="K451" s="13"/>
      <c r="L451" s="13"/>
      <c r="M451" s="13"/>
    </row>
    <row r="452" spans="1:13" ht="12.75">
      <c r="A452" s="188">
        <v>449</v>
      </c>
      <c r="B452" s="13"/>
      <c r="C452" s="13"/>
      <c r="D452" s="13"/>
      <c r="E452" s="13"/>
      <c r="F452" s="13"/>
      <c r="G452" s="13"/>
      <c r="H452" s="13"/>
      <c r="I452" s="13"/>
      <c r="J452" s="13"/>
      <c r="K452" s="13"/>
      <c r="L452" s="13"/>
      <c r="M452" s="13"/>
    </row>
    <row r="453" spans="1:13" ht="12.75">
      <c r="A453" s="188">
        <v>450</v>
      </c>
      <c r="B453" s="13"/>
      <c r="C453" s="13"/>
      <c r="D453" s="13"/>
      <c r="E453" s="13"/>
      <c r="F453" s="13"/>
      <c r="G453" s="13"/>
      <c r="H453" s="13"/>
      <c r="I453" s="13"/>
      <c r="J453" s="13"/>
      <c r="K453" s="13"/>
      <c r="L453" s="13"/>
      <c r="M453" s="13"/>
    </row>
    <row r="454" spans="1:13" ht="12.75">
      <c r="A454" s="188">
        <v>451</v>
      </c>
      <c r="B454" s="13"/>
      <c r="C454" s="13"/>
      <c r="D454" s="13"/>
      <c r="E454" s="13"/>
      <c r="F454" s="13"/>
      <c r="G454" s="13"/>
      <c r="H454" s="13"/>
      <c r="I454" s="13"/>
      <c r="J454" s="13"/>
      <c r="K454" s="13"/>
      <c r="L454" s="13"/>
      <c r="M454" s="13"/>
    </row>
    <row r="455" spans="1:13" ht="12.75">
      <c r="A455" s="188">
        <v>452</v>
      </c>
      <c r="B455" s="13"/>
      <c r="C455" s="13"/>
      <c r="D455" s="13"/>
      <c r="E455" s="13"/>
      <c r="F455" s="13"/>
      <c r="G455" s="13"/>
      <c r="H455" s="13"/>
      <c r="I455" s="13"/>
      <c r="J455" s="13"/>
      <c r="K455" s="13"/>
      <c r="L455" s="13"/>
      <c r="M455" s="13"/>
    </row>
    <row r="456" spans="1:13" ht="12.75">
      <c r="A456" s="188">
        <v>453</v>
      </c>
      <c r="B456" s="13"/>
      <c r="C456" s="13"/>
      <c r="D456" s="13"/>
      <c r="E456" s="13"/>
      <c r="F456" s="13"/>
      <c r="G456" s="13"/>
      <c r="H456" s="13"/>
      <c r="I456" s="13"/>
      <c r="J456" s="13"/>
      <c r="K456" s="13"/>
      <c r="L456" s="13"/>
      <c r="M456" s="13"/>
    </row>
    <row r="457" spans="1:13" ht="12.75">
      <c r="A457" s="188">
        <v>454</v>
      </c>
      <c r="B457" s="13"/>
      <c r="C457" s="13"/>
      <c r="D457" s="13"/>
      <c r="E457" s="13"/>
      <c r="F457" s="13"/>
      <c r="G457" s="13"/>
      <c r="H457" s="13"/>
      <c r="I457" s="13"/>
      <c r="J457" s="13"/>
      <c r="K457" s="13"/>
      <c r="L457" s="13"/>
      <c r="M457" s="13"/>
    </row>
    <row r="458" spans="1:13" ht="12.75">
      <c r="A458" s="188">
        <v>455</v>
      </c>
      <c r="B458" s="13"/>
      <c r="C458" s="13"/>
      <c r="D458" s="13"/>
      <c r="E458" s="13"/>
      <c r="F458" s="13"/>
      <c r="G458" s="13"/>
      <c r="H458" s="13"/>
      <c r="I458" s="13"/>
      <c r="J458" s="13"/>
      <c r="K458" s="13"/>
      <c r="L458" s="13"/>
      <c r="M458" s="13"/>
    </row>
    <row r="459" spans="1:13" ht="12.75">
      <c r="A459" s="188">
        <v>456</v>
      </c>
      <c r="B459" s="13"/>
      <c r="C459" s="13"/>
      <c r="D459" s="13"/>
      <c r="E459" s="13"/>
      <c r="F459" s="13"/>
      <c r="G459" s="13"/>
      <c r="H459" s="13"/>
      <c r="I459" s="13"/>
      <c r="J459" s="13"/>
      <c r="K459" s="13"/>
      <c r="L459" s="13"/>
      <c r="M459" s="13"/>
    </row>
    <row r="460" spans="1:13" ht="12.75">
      <c r="A460" s="188">
        <v>457</v>
      </c>
      <c r="B460" s="13"/>
      <c r="C460" s="13"/>
      <c r="D460" s="13"/>
      <c r="E460" s="13"/>
      <c r="F460" s="13"/>
      <c r="G460" s="13"/>
      <c r="H460" s="13"/>
      <c r="I460" s="13"/>
      <c r="J460" s="13"/>
      <c r="K460" s="13"/>
      <c r="L460" s="13"/>
      <c r="M460" s="13"/>
    </row>
    <row r="461" spans="1:13" ht="12.75">
      <c r="A461" s="188">
        <v>458</v>
      </c>
      <c r="B461" s="13"/>
      <c r="C461" s="13"/>
      <c r="D461" s="13"/>
      <c r="E461" s="13"/>
      <c r="F461" s="13"/>
      <c r="G461" s="13"/>
      <c r="H461" s="13"/>
      <c r="I461" s="13"/>
      <c r="J461" s="13"/>
      <c r="K461" s="13"/>
      <c r="L461" s="13"/>
      <c r="M461" s="13"/>
    </row>
    <row r="462" spans="1:13" ht="12.75">
      <c r="A462" s="188">
        <v>459</v>
      </c>
      <c r="B462" s="13"/>
      <c r="C462" s="13"/>
      <c r="D462" s="13"/>
      <c r="E462" s="13"/>
      <c r="F462" s="13"/>
      <c r="G462" s="13"/>
      <c r="H462" s="13"/>
      <c r="I462" s="13"/>
      <c r="J462" s="13"/>
      <c r="K462" s="13"/>
      <c r="L462" s="13"/>
      <c r="M462" s="13"/>
    </row>
    <row r="463" spans="1:13" ht="12.75">
      <c r="A463" s="188">
        <v>460</v>
      </c>
      <c r="B463" s="13"/>
      <c r="C463" s="13"/>
      <c r="D463" s="13"/>
      <c r="E463" s="13"/>
      <c r="F463" s="13"/>
      <c r="G463" s="13"/>
      <c r="H463" s="13"/>
      <c r="I463" s="13"/>
      <c r="J463" s="13"/>
      <c r="K463" s="13"/>
      <c r="L463" s="13"/>
      <c r="M463" s="13"/>
    </row>
    <row r="464" spans="1:13" ht="12.75">
      <c r="A464" s="188">
        <v>461</v>
      </c>
      <c r="B464" s="13"/>
      <c r="C464" s="13"/>
      <c r="D464" s="13"/>
      <c r="E464" s="13"/>
      <c r="F464" s="13"/>
      <c r="G464" s="13"/>
      <c r="H464" s="13"/>
      <c r="I464" s="13"/>
      <c r="J464" s="13"/>
      <c r="K464" s="13"/>
      <c r="L464" s="13"/>
      <c r="M464" s="13"/>
    </row>
    <row r="465" spans="1:13" ht="12.75">
      <c r="A465" s="188">
        <v>462</v>
      </c>
      <c r="B465" s="13"/>
      <c r="C465" s="13"/>
      <c r="D465" s="13"/>
      <c r="E465" s="13"/>
      <c r="F465" s="13"/>
      <c r="G465" s="13"/>
      <c r="H465" s="13"/>
      <c r="I465" s="13"/>
      <c r="J465" s="13"/>
      <c r="K465" s="13"/>
      <c r="L465" s="13"/>
      <c r="M465" s="13"/>
    </row>
    <row r="466" spans="1:13" ht="12.75">
      <c r="A466" s="188">
        <v>463</v>
      </c>
      <c r="B466" s="13"/>
      <c r="C466" s="13"/>
      <c r="D466" s="13"/>
      <c r="E466" s="13"/>
      <c r="F466" s="13"/>
      <c r="G466" s="13"/>
      <c r="H466" s="13"/>
      <c r="I466" s="13"/>
      <c r="J466" s="13"/>
      <c r="K466" s="13"/>
      <c r="L466" s="13"/>
      <c r="M466" s="13"/>
    </row>
    <row r="467" spans="1:13" ht="12.75">
      <c r="A467" s="188">
        <v>464</v>
      </c>
      <c r="B467" s="13"/>
      <c r="C467" s="13"/>
      <c r="D467" s="13"/>
      <c r="E467" s="13"/>
      <c r="F467" s="13"/>
      <c r="G467" s="13"/>
      <c r="H467" s="13"/>
      <c r="I467" s="13"/>
      <c r="J467" s="13"/>
      <c r="K467" s="13"/>
      <c r="L467" s="13"/>
      <c r="M467" s="13"/>
    </row>
    <row r="468" spans="1:13" ht="12.75">
      <c r="A468" s="188">
        <v>465</v>
      </c>
      <c r="B468" s="13"/>
      <c r="C468" s="13"/>
      <c r="D468" s="13"/>
      <c r="E468" s="13"/>
      <c r="F468" s="13"/>
      <c r="G468" s="13"/>
      <c r="H468" s="13"/>
      <c r="I468" s="13"/>
      <c r="J468" s="13"/>
      <c r="K468" s="13"/>
      <c r="L468" s="13"/>
      <c r="M468" s="13"/>
    </row>
    <row r="469" spans="1:13" ht="12.75">
      <c r="A469" s="188">
        <v>466</v>
      </c>
      <c r="B469" s="13"/>
      <c r="C469" s="13"/>
      <c r="D469" s="13"/>
      <c r="E469" s="13"/>
      <c r="F469" s="13"/>
      <c r="G469" s="13"/>
      <c r="H469" s="13"/>
      <c r="I469" s="13"/>
      <c r="J469" s="13"/>
      <c r="K469" s="13"/>
      <c r="L469" s="13"/>
      <c r="M469" s="13"/>
    </row>
    <row r="470" spans="1:13" ht="12.75">
      <c r="A470" s="188">
        <v>467</v>
      </c>
      <c r="B470" s="13"/>
      <c r="C470" s="13"/>
      <c r="D470" s="13"/>
      <c r="E470" s="13"/>
      <c r="F470" s="13"/>
      <c r="G470" s="13"/>
      <c r="H470" s="13"/>
      <c r="I470" s="13"/>
      <c r="J470" s="13"/>
      <c r="K470" s="13"/>
      <c r="L470" s="13"/>
      <c r="M470" s="13"/>
    </row>
    <row r="471" spans="1:13" ht="12.75">
      <c r="A471" s="188">
        <v>468</v>
      </c>
      <c r="B471" s="13"/>
      <c r="C471" s="13"/>
      <c r="D471" s="13"/>
      <c r="E471" s="13"/>
      <c r="F471" s="13"/>
      <c r="G471" s="13"/>
      <c r="H471" s="13"/>
      <c r="I471" s="13"/>
      <c r="J471" s="13"/>
      <c r="K471" s="13"/>
      <c r="L471" s="13"/>
      <c r="M471" s="13"/>
    </row>
    <row r="472" spans="1:13" ht="12.75">
      <c r="A472" s="188">
        <v>469</v>
      </c>
      <c r="B472" s="13"/>
      <c r="C472" s="13"/>
      <c r="D472" s="13"/>
      <c r="E472" s="13"/>
      <c r="F472" s="13"/>
      <c r="G472" s="13"/>
      <c r="H472" s="13"/>
      <c r="I472" s="13"/>
      <c r="J472" s="13"/>
      <c r="K472" s="13"/>
      <c r="L472" s="13"/>
      <c r="M472" s="13"/>
    </row>
    <row r="473" spans="1:13" ht="12.75">
      <c r="A473" s="188">
        <v>470</v>
      </c>
      <c r="B473" s="13"/>
      <c r="C473" s="13"/>
      <c r="D473" s="13"/>
      <c r="E473" s="13"/>
      <c r="F473" s="13"/>
      <c r="G473" s="13"/>
      <c r="H473" s="13"/>
      <c r="I473" s="13"/>
      <c r="J473" s="13"/>
      <c r="K473" s="13"/>
      <c r="L473" s="13"/>
      <c r="M473" s="13"/>
    </row>
    <row r="474" spans="1:13" ht="12.75">
      <c r="A474" s="188">
        <v>471</v>
      </c>
      <c r="B474" s="13"/>
      <c r="C474" s="13"/>
      <c r="D474" s="13"/>
      <c r="E474" s="13"/>
      <c r="F474" s="13"/>
      <c r="G474" s="13"/>
      <c r="H474" s="13"/>
      <c r="I474" s="13"/>
      <c r="J474" s="13"/>
      <c r="K474" s="13"/>
      <c r="L474" s="13"/>
      <c r="M474" s="13"/>
    </row>
    <row r="475" spans="1:13" ht="12.75">
      <c r="A475" s="188">
        <v>472</v>
      </c>
      <c r="B475" s="13"/>
      <c r="C475" s="13"/>
      <c r="D475" s="13"/>
      <c r="E475" s="13"/>
      <c r="F475" s="13"/>
      <c r="G475" s="13"/>
      <c r="H475" s="13"/>
      <c r="I475" s="13"/>
      <c r="J475" s="13"/>
      <c r="K475" s="13"/>
      <c r="L475" s="13"/>
      <c r="M475" s="13"/>
    </row>
    <row r="476" spans="1:13" ht="12.75">
      <c r="A476" s="188">
        <v>473</v>
      </c>
      <c r="B476" s="13"/>
      <c r="C476" s="13"/>
      <c r="D476" s="13"/>
      <c r="E476" s="13"/>
      <c r="F476" s="13"/>
      <c r="G476" s="13"/>
      <c r="H476" s="13"/>
      <c r="I476" s="13"/>
      <c r="J476" s="13"/>
      <c r="K476" s="13"/>
      <c r="L476" s="13"/>
      <c r="M476" s="13"/>
    </row>
    <row r="477" spans="1:13" ht="12.75">
      <c r="A477" s="188">
        <v>474</v>
      </c>
      <c r="B477" s="13"/>
      <c r="C477" s="13"/>
      <c r="D477" s="13"/>
      <c r="E477" s="13"/>
      <c r="F477" s="13"/>
      <c r="G477" s="13"/>
      <c r="H477" s="13"/>
      <c r="I477" s="13"/>
      <c r="J477" s="13"/>
      <c r="K477" s="13"/>
      <c r="L477" s="13"/>
      <c r="M477" s="13"/>
    </row>
    <row r="478" spans="1:13" ht="12.75">
      <c r="A478" s="188">
        <v>475</v>
      </c>
      <c r="B478" s="13"/>
      <c r="C478" s="13"/>
      <c r="D478" s="13"/>
      <c r="E478" s="13"/>
      <c r="F478" s="13"/>
      <c r="G478" s="13"/>
      <c r="H478" s="13"/>
      <c r="I478" s="13"/>
      <c r="J478" s="13"/>
      <c r="K478" s="13"/>
      <c r="L478" s="13"/>
      <c r="M478" s="13"/>
    </row>
    <row r="479" spans="1:13" ht="12.75">
      <c r="A479" s="188">
        <v>476</v>
      </c>
      <c r="B479" s="13"/>
      <c r="C479" s="13"/>
      <c r="D479" s="13"/>
      <c r="E479" s="13"/>
      <c r="F479" s="13"/>
      <c r="G479" s="13"/>
      <c r="H479" s="13"/>
      <c r="I479" s="13"/>
      <c r="J479" s="13"/>
      <c r="K479" s="13"/>
      <c r="L479" s="13"/>
      <c r="M479" s="13"/>
    </row>
    <row r="480" spans="1:13" ht="12.75">
      <c r="A480" s="188">
        <v>477</v>
      </c>
      <c r="B480" s="13"/>
      <c r="C480" s="13"/>
      <c r="D480" s="13"/>
      <c r="E480" s="13"/>
      <c r="F480" s="13"/>
      <c r="G480" s="13"/>
      <c r="H480" s="13"/>
      <c r="I480" s="13"/>
      <c r="J480" s="13"/>
      <c r="K480" s="13"/>
      <c r="L480" s="13"/>
      <c r="M480" s="13"/>
    </row>
    <row r="481" spans="1:13" ht="12.75">
      <c r="A481" s="188">
        <v>478</v>
      </c>
      <c r="B481" s="13"/>
      <c r="C481" s="13"/>
      <c r="D481" s="13"/>
      <c r="E481" s="13"/>
      <c r="F481" s="13"/>
      <c r="G481" s="13"/>
      <c r="H481" s="13"/>
      <c r="I481" s="13"/>
      <c r="J481" s="13"/>
      <c r="K481" s="13"/>
      <c r="L481" s="13"/>
      <c r="M481" s="13"/>
    </row>
    <row r="482" spans="1:13" ht="12.75">
      <c r="A482" s="188">
        <v>479</v>
      </c>
      <c r="B482" s="13"/>
      <c r="C482" s="13"/>
      <c r="D482" s="13"/>
      <c r="E482" s="13"/>
      <c r="F482" s="13"/>
      <c r="G482" s="13"/>
      <c r="H482" s="13"/>
      <c r="I482" s="13"/>
      <c r="J482" s="13"/>
      <c r="K482" s="13"/>
      <c r="L482" s="13"/>
      <c r="M482" s="13"/>
    </row>
    <row r="483" spans="1:13" ht="12.75">
      <c r="A483" s="188">
        <v>480</v>
      </c>
      <c r="B483" s="13"/>
      <c r="C483" s="13"/>
      <c r="D483" s="13"/>
      <c r="E483" s="13"/>
      <c r="F483" s="13"/>
      <c r="G483" s="13"/>
      <c r="H483" s="13"/>
      <c r="I483" s="13"/>
      <c r="J483" s="13"/>
      <c r="K483" s="13"/>
      <c r="L483" s="13"/>
      <c r="M483" s="13"/>
    </row>
    <row r="484" spans="1:13" ht="12.75">
      <c r="A484" s="188">
        <v>481</v>
      </c>
      <c r="B484" s="13"/>
      <c r="C484" s="13"/>
      <c r="D484" s="13"/>
      <c r="E484" s="13"/>
      <c r="F484" s="13"/>
      <c r="G484" s="13"/>
      <c r="H484" s="13"/>
      <c r="I484" s="13"/>
      <c r="J484" s="13"/>
      <c r="K484" s="13"/>
      <c r="L484" s="13"/>
      <c r="M484" s="13"/>
    </row>
    <row r="485" spans="1:13" ht="12.75">
      <c r="A485" s="188">
        <v>482</v>
      </c>
      <c r="B485" s="13"/>
      <c r="C485" s="13"/>
      <c r="D485" s="13"/>
      <c r="E485" s="13"/>
      <c r="F485" s="13"/>
      <c r="G485" s="13"/>
      <c r="H485" s="13"/>
      <c r="I485" s="13"/>
      <c r="J485" s="13"/>
      <c r="K485" s="13"/>
      <c r="L485" s="13"/>
      <c r="M485" s="13"/>
    </row>
    <row r="486" spans="1:13" ht="12.75">
      <c r="A486" s="188">
        <v>483</v>
      </c>
      <c r="B486" s="13"/>
      <c r="C486" s="13"/>
      <c r="D486" s="13"/>
      <c r="E486" s="13"/>
      <c r="F486" s="13"/>
      <c r="G486" s="13"/>
      <c r="H486" s="13"/>
      <c r="I486" s="13"/>
      <c r="J486" s="13"/>
      <c r="K486" s="13"/>
      <c r="L486" s="13"/>
      <c r="M486" s="13"/>
    </row>
    <row r="487" spans="1:13" ht="12.75">
      <c r="A487" s="188">
        <v>484</v>
      </c>
      <c r="B487" s="13"/>
      <c r="C487" s="13"/>
      <c r="D487" s="13"/>
      <c r="E487" s="13"/>
      <c r="F487" s="13"/>
      <c r="G487" s="13"/>
      <c r="H487" s="13"/>
      <c r="I487" s="13"/>
      <c r="J487" s="13"/>
      <c r="K487" s="13"/>
      <c r="L487" s="13"/>
      <c r="M487" s="13"/>
    </row>
    <row r="488" spans="1:13" ht="12.75">
      <c r="A488" s="188">
        <v>485</v>
      </c>
      <c r="B488" s="13"/>
      <c r="C488" s="13"/>
      <c r="D488" s="13"/>
      <c r="E488" s="13"/>
      <c r="F488" s="13"/>
      <c r="G488" s="13"/>
      <c r="H488" s="13"/>
      <c r="I488" s="13"/>
      <c r="J488" s="13"/>
      <c r="K488" s="13"/>
      <c r="L488" s="13"/>
      <c r="M488" s="13"/>
    </row>
    <row r="489" spans="1:13" ht="12.75">
      <c r="A489" s="188">
        <v>486</v>
      </c>
      <c r="B489" s="13"/>
      <c r="C489" s="13"/>
      <c r="D489" s="13"/>
      <c r="E489" s="13"/>
      <c r="F489" s="13"/>
      <c r="G489" s="13"/>
      <c r="H489" s="13"/>
      <c r="I489" s="13"/>
      <c r="J489" s="13"/>
      <c r="K489" s="13"/>
      <c r="L489" s="13"/>
      <c r="M489" s="13"/>
    </row>
    <row r="490" spans="1:13" ht="12.75">
      <c r="A490" s="188">
        <v>487</v>
      </c>
      <c r="B490" s="13"/>
      <c r="C490" s="13"/>
      <c r="D490" s="13"/>
      <c r="E490" s="13"/>
      <c r="F490" s="13"/>
      <c r="G490" s="13"/>
      <c r="H490" s="13"/>
      <c r="I490" s="13"/>
      <c r="J490" s="13"/>
      <c r="K490" s="13"/>
      <c r="L490" s="13"/>
      <c r="M490" s="13"/>
    </row>
    <row r="491" spans="1:13" ht="12.75">
      <c r="A491" s="188">
        <v>488</v>
      </c>
      <c r="B491" s="13"/>
      <c r="C491" s="13"/>
      <c r="D491" s="13"/>
      <c r="E491" s="13"/>
      <c r="F491" s="13"/>
      <c r="G491" s="13"/>
      <c r="H491" s="13"/>
      <c r="I491" s="13"/>
      <c r="J491" s="13"/>
      <c r="K491" s="13"/>
      <c r="L491" s="13"/>
      <c r="M491" s="13"/>
    </row>
    <row r="492" spans="1:13" ht="12.75">
      <c r="A492" s="188">
        <v>489</v>
      </c>
      <c r="B492" s="13"/>
      <c r="C492" s="13"/>
      <c r="D492" s="13"/>
      <c r="E492" s="13"/>
      <c r="F492" s="13"/>
      <c r="G492" s="13"/>
      <c r="H492" s="13"/>
      <c r="I492" s="13"/>
      <c r="J492" s="13"/>
      <c r="K492" s="13"/>
      <c r="L492" s="13"/>
      <c r="M492" s="13"/>
    </row>
    <row r="493" spans="1:13" ht="12.75">
      <c r="A493" s="188">
        <v>490</v>
      </c>
      <c r="B493" s="13"/>
      <c r="C493" s="13"/>
      <c r="D493" s="13"/>
      <c r="E493" s="13"/>
      <c r="F493" s="13"/>
      <c r="G493" s="13"/>
      <c r="H493" s="13"/>
      <c r="I493" s="13"/>
      <c r="J493" s="13"/>
      <c r="K493" s="13"/>
      <c r="L493" s="13"/>
      <c r="M493" s="13"/>
    </row>
    <row r="494" spans="1:13" ht="12.75">
      <c r="A494" s="188">
        <v>491</v>
      </c>
      <c r="B494" s="13"/>
      <c r="C494" s="13"/>
      <c r="D494" s="13"/>
      <c r="E494" s="13"/>
      <c r="F494" s="13"/>
      <c r="G494" s="13"/>
      <c r="H494" s="13"/>
      <c r="I494" s="13"/>
      <c r="J494" s="13"/>
      <c r="K494" s="13"/>
      <c r="L494" s="13"/>
      <c r="M494" s="13"/>
    </row>
    <row r="495" spans="1:13" ht="12.75">
      <c r="A495" s="188">
        <v>492</v>
      </c>
      <c r="B495" s="13"/>
      <c r="C495" s="13"/>
      <c r="D495" s="13"/>
      <c r="E495" s="13"/>
      <c r="F495" s="13"/>
      <c r="G495" s="13"/>
      <c r="H495" s="13"/>
      <c r="I495" s="13"/>
      <c r="J495" s="13"/>
      <c r="K495" s="13"/>
      <c r="L495" s="13"/>
      <c r="M495" s="13"/>
    </row>
    <row r="496" spans="1:13" ht="12.75">
      <c r="A496" s="188">
        <v>493</v>
      </c>
      <c r="B496" s="13"/>
      <c r="C496" s="13"/>
      <c r="D496" s="13"/>
      <c r="E496" s="13"/>
      <c r="F496" s="13"/>
      <c r="G496" s="13"/>
      <c r="H496" s="13"/>
      <c r="I496" s="13"/>
      <c r="J496" s="13"/>
      <c r="K496" s="13"/>
      <c r="L496" s="13"/>
      <c r="M496" s="13"/>
    </row>
    <row r="497" spans="1:13" ht="12.75">
      <c r="A497" s="188">
        <v>494</v>
      </c>
      <c r="B497" s="13"/>
      <c r="C497" s="13"/>
      <c r="D497" s="13"/>
      <c r="E497" s="13"/>
      <c r="F497" s="13"/>
      <c r="G497" s="13"/>
      <c r="H497" s="13"/>
      <c r="I497" s="13"/>
      <c r="J497" s="13"/>
      <c r="K497" s="13"/>
      <c r="L497" s="13"/>
      <c r="M497" s="13"/>
    </row>
    <row r="498" spans="1:13" ht="12.75">
      <c r="A498" s="188">
        <v>495</v>
      </c>
      <c r="B498" s="13"/>
      <c r="C498" s="13"/>
      <c r="D498" s="13"/>
      <c r="E498" s="13"/>
      <c r="F498" s="13"/>
      <c r="G498" s="13"/>
      <c r="H498" s="13"/>
      <c r="I498" s="13"/>
      <c r="J498" s="13"/>
      <c r="K498" s="13"/>
      <c r="L498" s="13"/>
      <c r="M498" s="13"/>
    </row>
    <row r="499" spans="1:13" ht="12.75">
      <c r="A499" s="188">
        <v>496</v>
      </c>
      <c r="B499" s="13"/>
      <c r="C499" s="13"/>
      <c r="D499" s="13"/>
      <c r="E499" s="13"/>
      <c r="F499" s="13"/>
      <c r="G499" s="13"/>
      <c r="H499" s="13"/>
      <c r="I499" s="13"/>
      <c r="J499" s="13"/>
      <c r="K499" s="13"/>
      <c r="L499" s="13"/>
      <c r="M499" s="13"/>
    </row>
    <row r="500" spans="1:13" ht="12.75">
      <c r="A500" s="188">
        <v>497</v>
      </c>
      <c r="B500" s="13"/>
      <c r="C500" s="13"/>
      <c r="D500" s="13"/>
      <c r="E500" s="13"/>
      <c r="F500" s="13"/>
      <c r="G500" s="13"/>
      <c r="H500" s="13"/>
      <c r="I500" s="13"/>
      <c r="J500" s="13"/>
      <c r="K500" s="13"/>
      <c r="L500" s="13"/>
      <c r="M500" s="13"/>
    </row>
    <row r="501" spans="1:13" ht="12.75">
      <c r="A501" s="188">
        <v>498</v>
      </c>
      <c r="B501" s="13"/>
      <c r="C501" s="13"/>
      <c r="D501" s="13"/>
      <c r="E501" s="13"/>
      <c r="F501" s="13"/>
      <c r="G501" s="13"/>
      <c r="H501" s="13"/>
      <c r="I501" s="13"/>
      <c r="J501" s="13"/>
      <c r="K501" s="13"/>
      <c r="L501" s="13"/>
      <c r="M501" s="13"/>
    </row>
    <row r="502" spans="1:13" ht="12.75">
      <c r="A502" s="188">
        <v>499</v>
      </c>
      <c r="B502" s="13"/>
      <c r="C502" s="13"/>
      <c r="D502" s="13"/>
      <c r="E502" s="13"/>
      <c r="F502" s="13"/>
      <c r="G502" s="13"/>
      <c r="H502" s="13"/>
      <c r="I502" s="13"/>
      <c r="J502" s="13"/>
      <c r="K502" s="13"/>
      <c r="L502" s="13"/>
      <c r="M502" s="13"/>
    </row>
    <row r="503" spans="1:13" ht="12.75">
      <c r="A503" s="189">
        <v>500</v>
      </c>
      <c r="B503" s="70"/>
      <c r="C503" s="70"/>
      <c r="D503" s="70"/>
      <c r="E503" s="70"/>
      <c r="F503" s="70"/>
      <c r="G503" s="70"/>
      <c r="H503" s="70"/>
      <c r="I503" s="70"/>
      <c r="J503" s="70"/>
      <c r="K503" s="70"/>
      <c r="L503" s="70"/>
      <c r="M503" s="70"/>
    </row>
    <row r="508" ht="12.75">
      <c r="B508" s="397"/>
    </row>
  </sheetData>
  <sheetProtection sheet="1" objects="1" scenarios="1"/>
  <printOptions gridLines="1"/>
  <pageMargins left="0.75" right="0.75" top="1" bottom="1" header="0.5" footer="0.5"/>
  <pageSetup blackAndWhite="1" horizontalDpi="300" verticalDpi="300" orientation="landscape" r:id="rId3"/>
  <headerFooter alignWithMargins="0">
    <oddHeader>&amp;LRaw Height Data Worksheet&amp;R&amp;F</oddHeader>
    <oddFooter>&amp;CPage &amp;P&amp;R&amp;D,&amp;T</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0"/>
  <dimension ref="A1:N82"/>
  <sheetViews>
    <sheetView zoomScale="75" zoomScaleNormal="75" workbookViewId="0" topLeftCell="A1">
      <selection activeCell="J26" sqref="J26"/>
    </sheetView>
  </sheetViews>
  <sheetFormatPr defaultColWidth="9.140625" defaultRowHeight="12.75"/>
  <cols>
    <col min="1" max="1" width="18.8515625" style="83" customWidth="1"/>
    <col min="2" max="2" width="9.140625" style="83" customWidth="1"/>
    <col min="3" max="5" width="10.7109375" style="83" customWidth="1"/>
    <col min="6" max="6" width="9.140625" style="83" customWidth="1"/>
    <col min="7" max="7" width="11.140625" style="83" customWidth="1"/>
    <col min="8" max="9" width="5.7109375" style="83" customWidth="1"/>
    <col min="10" max="10" width="9.140625" style="83" customWidth="1"/>
    <col min="11" max="11" width="9.8515625" style="83" customWidth="1"/>
    <col min="12" max="16384" width="9.140625" style="83" customWidth="1"/>
  </cols>
  <sheetData>
    <row r="1" spans="1:11" ht="12.75">
      <c r="A1" s="231"/>
      <c r="B1" s="232" t="s">
        <v>6</v>
      </c>
      <c r="C1" s="233">
        <f>TEXT(ProjectDescription,"")</f>
      </c>
      <c r="D1" s="234"/>
      <c r="E1" s="234"/>
      <c r="F1" s="232" t="s">
        <v>74</v>
      </c>
      <c r="G1" s="235">
        <f>NINI</f>
        <v>7</v>
      </c>
      <c r="H1" s="109"/>
      <c r="I1" s="246"/>
      <c r="J1"/>
      <c r="K1"/>
    </row>
    <row r="2" spans="1:11" ht="12.75">
      <c r="A2" s="236"/>
      <c r="B2" s="223" t="s">
        <v>5</v>
      </c>
      <c r="C2" s="217" t="str">
        <f>WorkbookName</f>
        <v>Pine-Prj.xlt</v>
      </c>
      <c r="D2" s="221"/>
      <c r="E2" s="221"/>
      <c r="F2" s="222" t="s">
        <v>75</v>
      </c>
      <c r="G2" s="237">
        <f>NDES</f>
        <v>75</v>
      </c>
      <c r="H2" s="109"/>
      <c r="I2" s="246"/>
      <c r="J2"/>
      <c r="K2"/>
    </row>
    <row r="3" spans="1:11" ht="12.75">
      <c r="A3" s="236"/>
      <c r="B3" s="222" t="s">
        <v>7</v>
      </c>
      <c r="C3" s="230">
        <f>TEXT(Technician,"")</f>
      </c>
      <c r="D3" s="221"/>
      <c r="E3" s="221"/>
      <c r="F3" s="222" t="s">
        <v>76</v>
      </c>
      <c r="G3" s="237">
        <f>NMAX</f>
        <v>115</v>
      </c>
      <c r="H3" s="109"/>
      <c r="I3" s="246"/>
      <c r="J3"/>
      <c r="K3"/>
    </row>
    <row r="4" spans="1:11" ht="12.75">
      <c r="A4" s="236"/>
      <c r="B4" s="222" t="s">
        <v>8</v>
      </c>
      <c r="C4" s="225">
        <f>IF(ISBLANK(ProjectDate),"",TEXT(ProjectDate,"m/d/y"))</f>
      </c>
      <c r="D4" s="221"/>
      <c r="E4" s="221"/>
      <c r="F4" s="391" t="s">
        <v>16</v>
      </c>
      <c r="G4" s="392" t="str">
        <f>Sieve&amp;"mm"</f>
        <v>19mm</v>
      </c>
      <c r="H4" s="109"/>
      <c r="I4" s="246"/>
      <c r="J4"/>
      <c r="K4"/>
    </row>
    <row r="5" spans="1:11" ht="12.75">
      <c r="A5" s="238"/>
      <c r="B5" s="222" t="s">
        <v>9</v>
      </c>
      <c r="C5" s="227">
        <f>TEXT(Grade,"")</f>
      </c>
      <c r="D5" s="229"/>
      <c r="E5" s="228"/>
      <c r="F5" s="222" t="s">
        <v>17</v>
      </c>
      <c r="G5" s="237" t="str">
        <f>TEXT(Temperature,"##")&amp;"°C"</f>
        <v>°C</v>
      </c>
      <c r="H5" s="109"/>
      <c r="I5" s="246"/>
      <c r="J5"/>
      <c r="K5"/>
    </row>
    <row r="6" spans="1:11" ht="13.5" thickBot="1">
      <c r="A6" s="239"/>
      <c r="B6" s="240" t="s">
        <v>11</v>
      </c>
      <c r="C6" s="241" t="str">
        <f>TEXT(CompacTemp,"###")&amp;"°C"</f>
        <v>°C</v>
      </c>
      <c r="D6" s="242"/>
      <c r="E6" s="243"/>
      <c r="F6" s="240" t="s">
        <v>10</v>
      </c>
      <c r="G6" s="245" t="str">
        <f>TEXT(ESALS,"##.#")</f>
        <v>.3</v>
      </c>
      <c r="H6" s="109"/>
      <c r="I6" s="246"/>
      <c r="J6"/>
      <c r="K6"/>
    </row>
    <row r="7" ht="12.75"/>
    <row r="8" ht="12.75"/>
    <row r="9" ht="12.75">
      <c r="K9"/>
    </row>
    <row r="10" ht="12.75"/>
    <row r="11" ht="12.75"/>
    <row r="12" ht="12.75">
      <c r="K12" s="122"/>
    </row>
    <row r="13" ht="12.75"/>
    <row r="14" ht="12.75">
      <c r="K14" s="122"/>
    </row>
    <row r="15" ht="12.75"/>
    <row r="16" ht="12.75"/>
    <row r="17" ht="12.75"/>
    <row r="18" ht="12.75">
      <c r="K18"/>
    </row>
    <row r="19" ht="12.75">
      <c r="K19" s="596"/>
    </row>
    <row r="20" ht="12.75">
      <c r="K20" s="596"/>
    </row>
    <row r="21" ht="12.75">
      <c r="K21" s="596"/>
    </row>
    <row r="22" ht="12.75">
      <c r="K22" s="596"/>
    </row>
    <row r="23" ht="12.75"/>
    <row r="24" ht="12.75"/>
    <row r="25" ht="12.75"/>
    <row r="26" ht="12.75"/>
    <row r="27" ht="12.75"/>
    <row r="28" ht="12.75"/>
    <row r="29" ht="12.75"/>
    <row r="30" ht="12.75"/>
    <row r="31" ht="12.75"/>
    <row r="32" spans="11:14" ht="12.75">
      <c r="K32"/>
      <c r="L32"/>
      <c r="M32"/>
      <c r="N32"/>
    </row>
    <row r="33" ht="12.75"/>
    <row r="34" ht="12.75">
      <c r="D34"/>
    </row>
    <row r="35" spans="2:4" ht="13.5" thickBot="1">
      <c r="B35" s="595" t="s">
        <v>107</v>
      </c>
      <c r="D35" s="595" t="s">
        <v>108</v>
      </c>
    </row>
    <row r="36" spans="1:10" ht="39" thickBot="1">
      <c r="A36" s="135" t="s">
        <v>89</v>
      </c>
      <c r="B36" s="126" t="s">
        <v>90</v>
      </c>
      <c r="C36" s="127" t="s">
        <v>109</v>
      </c>
      <c r="D36" s="127" t="s">
        <v>110</v>
      </c>
      <c r="E36" s="127" t="s">
        <v>111</v>
      </c>
      <c r="F36" s="128" t="s">
        <v>112</v>
      </c>
      <c r="G36"/>
      <c r="H36"/>
      <c r="I36"/>
      <c r="J36"/>
    </row>
    <row r="37" spans="1:12" ht="14.25">
      <c r="A37" s="129" t="str">
        <f>IF(BlendID1="","Blend 1",BlendID1)</f>
        <v>Blend 1</v>
      </c>
      <c r="B37" s="61" t="e">
        <f>IF(ISBLANK(Pbi1),NA(),Pbi1)</f>
        <v>#N/A</v>
      </c>
      <c r="C37" s="62">
        <f>IF(ISERROR(AirVoidsAtNmax1),"",AirVoidsAtNmax1)</f>
      </c>
      <c r="D37" s="131">
        <f>IF(ISERROR(AirVoids1),"",AirVoids1)</f>
      </c>
      <c r="E37" s="62">
        <f>IF(ISERROR(VMA1),"",VMA1)</f>
      </c>
      <c r="F37" s="63">
        <f>IF(ISERROR(VMA1),"",100*((VMA1-AirVoids1)/VMA1))</f>
      </c>
      <c r="G37"/>
      <c r="H37"/>
      <c r="I37"/>
      <c r="J37"/>
      <c r="K37" s="593"/>
      <c r="L37" s="594"/>
    </row>
    <row r="38" spans="1:12" ht="14.25">
      <c r="A38" s="136" t="str">
        <f>IF(BlendID2="","Blend 2",BlendID2)</f>
        <v>Blend 2</v>
      </c>
      <c r="B38" s="64" t="e">
        <f>IF(ISBLANK(Pbi2),NA(),Pbi2)</f>
        <v>#N/A</v>
      </c>
      <c r="C38" s="65">
        <f>IF(ISERROR(AirVoidsAtNmax2),"",AirVoidsAtNmax2)</f>
      </c>
      <c r="D38" s="130">
        <f>IF(ISERROR(AirVoids2),"",AirVoids2)</f>
      </c>
      <c r="E38" s="65">
        <f>IF(ISERROR(VMA2),"",VMA2)</f>
      </c>
      <c r="F38" s="66">
        <f>IF(ISERROR(VMA2),"",100*((VMA2-AirVoids2)/VMA2))</f>
      </c>
      <c r="G38"/>
      <c r="H38"/>
      <c r="I38"/>
      <c r="J38"/>
      <c r="K38" s="593"/>
      <c r="L38" s="594"/>
    </row>
    <row r="39" spans="1:12" ht="14.25">
      <c r="A39" s="136" t="str">
        <f>IF(BlendID3="","Blend 3",BlendID3)</f>
        <v>Blend 3</v>
      </c>
      <c r="B39" s="64" t="e">
        <f>IF(ISBLANK(Pbi3),NA(),Pbi3)</f>
        <v>#N/A</v>
      </c>
      <c r="C39" s="65">
        <f>IF(ISERROR(AirVoidsAtNmax3),"",AirVoidsAtNmax3)</f>
      </c>
      <c r="D39" s="130">
        <f>IF(ISERROR(AirVoids3),"",AirVoids3)</f>
      </c>
      <c r="E39" s="65">
        <f>IF(ISERROR(VMA3),"",VMA3)</f>
      </c>
      <c r="F39" s="66">
        <f>IF(ISERROR(VMA3),"",100*((VMA3-AirVoids3)/VMA3))</f>
      </c>
      <c r="G39"/>
      <c r="H39"/>
      <c r="I39"/>
      <c r="J39"/>
      <c r="K39" s="593"/>
      <c r="L39" s="594"/>
    </row>
    <row r="40" spans="1:11" ht="15" thickBot="1">
      <c r="A40" s="137" t="str">
        <f>IF(BlendID4="","Blend 4",BlendID4)</f>
        <v>Blend 4</v>
      </c>
      <c r="B40" s="67" t="e">
        <f>IF(ISBLANK(Pbi4),NA(),Pbi4)</f>
        <v>#N/A</v>
      </c>
      <c r="C40" s="68">
        <f>IF(ISERROR(AirVoidsAtNmax4),"",AirVoidsAtNmax4)</f>
      </c>
      <c r="D40" s="132">
        <f>IF(ISERROR(AirVoids4),"",AirVoids4)</f>
      </c>
      <c r="E40" s="68">
        <f>IF(ISERROR(VMA4),"",VMA4)</f>
      </c>
      <c r="F40" s="69">
        <f>IF(ISERROR(VMA4),"",100*((VMA4-AirVoids4)/VMA4))</f>
      </c>
      <c r="G40"/>
      <c r="H40"/>
      <c r="I40"/>
      <c r="J40"/>
      <c r="K40" s="593"/>
    </row>
    <row r="41" spans="1:11" ht="15" thickBot="1">
      <c r="A41" s="125"/>
      <c r="B41" s="117"/>
      <c r="C41" s="133"/>
      <c r="D41" s="117"/>
      <c r="E41" s="117"/>
      <c r="F41" s="117"/>
      <c r="G41" s="117"/>
      <c r="H41"/>
      <c r="I41"/>
      <c r="J41"/>
      <c r="K41" s="133"/>
    </row>
    <row r="42" spans="1:11" ht="12.75">
      <c r="A42" s="231"/>
      <c r="B42" s="232" t="s">
        <v>6</v>
      </c>
      <c r="C42" s="233">
        <f>TEXT(ProjectDescription,"")</f>
      </c>
      <c r="D42" s="234"/>
      <c r="E42" s="234"/>
      <c r="F42" s="232" t="s">
        <v>74</v>
      </c>
      <c r="G42" s="235">
        <f>NINI</f>
        <v>7</v>
      </c>
      <c r="H42" s="133"/>
      <c r="I42" s="109"/>
      <c r="J42"/>
      <c r="K42" s="133"/>
    </row>
    <row r="43" spans="1:9" ht="12.75">
      <c r="A43" s="236"/>
      <c r="B43" s="223" t="s">
        <v>5</v>
      </c>
      <c r="C43" s="217" t="str">
        <f>WorkbookName</f>
        <v>Pine-Prj.xlt</v>
      </c>
      <c r="D43" s="221"/>
      <c r="E43" s="221"/>
      <c r="F43" s="222" t="s">
        <v>75</v>
      </c>
      <c r="G43" s="237">
        <f>NDES</f>
        <v>75</v>
      </c>
      <c r="H43" s="133"/>
      <c r="I43" s="109"/>
    </row>
    <row r="44" spans="1:9" ht="12.75">
      <c r="A44" s="236"/>
      <c r="B44" s="222" t="s">
        <v>7</v>
      </c>
      <c r="C44" s="230">
        <f>TEXT(Technician,"")</f>
      </c>
      <c r="D44" s="221"/>
      <c r="E44" s="221"/>
      <c r="F44" s="222" t="s">
        <v>76</v>
      </c>
      <c r="G44" s="237">
        <f>NMAX</f>
        <v>115</v>
      </c>
      <c r="H44" s="133"/>
      <c r="I44" s="109"/>
    </row>
    <row r="45" spans="1:9" ht="12.75">
      <c r="A45" s="236"/>
      <c r="B45" s="222" t="s">
        <v>8</v>
      </c>
      <c r="C45" s="225">
        <f>IF(ISBLANK(ProjectDate),"",TEXT(ProjectDate,"m/d/y"))</f>
      </c>
      <c r="D45" s="221"/>
      <c r="E45" s="221"/>
      <c r="F45" s="82"/>
      <c r="G45" s="249"/>
      <c r="H45" s="109"/>
      <c r="I45" s="109"/>
    </row>
    <row r="46" spans="1:9" ht="12.75">
      <c r="A46" s="238"/>
      <c r="B46" s="222" t="s">
        <v>9</v>
      </c>
      <c r="C46" s="227">
        <f>TEXT(Grade,"")</f>
      </c>
      <c r="D46" s="229"/>
      <c r="E46" s="228"/>
      <c r="F46" s="222" t="s">
        <v>17</v>
      </c>
      <c r="G46" s="237" t="str">
        <f>TEXT(Temperature,"##")&amp;"°C"</f>
        <v>°C</v>
      </c>
      <c r="H46" s="133"/>
      <c r="I46" s="104"/>
    </row>
    <row r="47" spans="1:9" ht="13.5" thickBot="1">
      <c r="A47" s="239"/>
      <c r="B47" s="240" t="s">
        <v>11</v>
      </c>
      <c r="C47" s="241" t="str">
        <f>TEXT(CompacTemp,"###")&amp;"°C"</f>
        <v>°C</v>
      </c>
      <c r="D47" s="242"/>
      <c r="E47" s="243"/>
      <c r="F47" s="240" t="s">
        <v>10</v>
      </c>
      <c r="G47" s="245" t="str">
        <f>TEXT(ESALS,"##.#")</f>
        <v>.3</v>
      </c>
      <c r="H47" s="133"/>
      <c r="I47" s="109"/>
    </row>
    <row r="48" spans="1:9" ht="12.75">
      <c r="A48"/>
      <c r="B48"/>
      <c r="C48"/>
      <c r="D48"/>
      <c r="E48"/>
      <c r="F48"/>
      <c r="G48"/>
      <c r="H48"/>
      <c r="I48"/>
    </row>
    <row r="49" spans="1:9" ht="12.75">
      <c r="A49"/>
      <c r="B49"/>
      <c r="C49"/>
      <c r="D49"/>
      <c r="E49"/>
      <c r="F49"/>
      <c r="G49"/>
      <c r="H49"/>
      <c r="I49"/>
    </row>
    <row r="50" spans="1:7" ht="12.75">
      <c r="A50" s="124"/>
      <c r="B50" s="134"/>
      <c r="C50" s="123"/>
      <c r="D50" s="123"/>
      <c r="E50" s="134"/>
      <c r="F50" s="123"/>
      <c r="G50" s="123"/>
    </row>
    <row r="51" spans="1:7" ht="12.75">
      <c r="A51"/>
      <c r="B51"/>
      <c r="C51"/>
      <c r="D51"/>
      <c r="E51"/>
      <c r="F51"/>
      <c r="G51" s="117"/>
    </row>
    <row r="52" spans="1:7" ht="12.75">
      <c r="A52"/>
      <c r="B52"/>
      <c r="C52"/>
      <c r="D52"/>
      <c r="E52"/>
      <c r="F52"/>
      <c r="G52" s="117"/>
    </row>
    <row r="53" spans="1:7" ht="12.75">
      <c r="A53"/>
      <c r="B53"/>
      <c r="C53"/>
      <c r="D53"/>
      <c r="E53"/>
      <c r="F53"/>
      <c r="G53" s="117"/>
    </row>
    <row r="54" spans="1:7" ht="12.75">
      <c r="A54"/>
      <c r="B54"/>
      <c r="C54"/>
      <c r="D54"/>
      <c r="E54"/>
      <c r="F54"/>
      <c r="G54" s="117"/>
    </row>
    <row r="55" spans="1:6" ht="12.75">
      <c r="A55"/>
      <c r="B55"/>
      <c r="C55"/>
      <c r="D55"/>
      <c r="E55"/>
      <c r="F55"/>
    </row>
    <row r="75" ht="13.5" thickBot="1"/>
    <row r="76" spans="1:6" ht="40.5" thickBot="1">
      <c r="A76" s="135" t="s">
        <v>89</v>
      </c>
      <c r="B76" s="126" t="s">
        <v>90</v>
      </c>
      <c r="C76" s="127" t="s">
        <v>113</v>
      </c>
      <c r="D76" s="127" t="str">
        <f>"%Gmm @ "&amp;CHOOSE(CompacMode,"Ndes"," Nmax")</f>
        <v>%Gmm @  Nmax</v>
      </c>
      <c r="E76" s="127" t="s">
        <v>114</v>
      </c>
      <c r="F76" s="128" t="s">
        <v>115</v>
      </c>
    </row>
    <row r="77" spans="1:6" ht="14.25">
      <c r="A77" s="129" t="str">
        <f>IF(BlendID1="","Blend 1",BlendID1)</f>
        <v>Blend 1</v>
      </c>
      <c r="B77" s="61" t="e">
        <f>IF(ISBLANK(Pbi1),NA(),Pbi1)</f>
        <v>#N/A</v>
      </c>
      <c r="C77" s="131">
        <f>'Densification Report'!K12</f>
      </c>
      <c r="D77" s="131">
        <f>IF(CompacMode=2,'Densification Report'!K14,'Densification Report'!K13)</f>
      </c>
      <c r="E77" s="161">
        <f>IF(ISERROR(Calculations!G49),"",Calculations!G49)</f>
      </c>
      <c r="F77" s="180">
        <f>Dust1</f>
      </c>
    </row>
    <row r="78" spans="1:6" ht="14.25">
      <c r="A78" s="136" t="str">
        <f>IF(BlendID2="","Blend 2",BlendID2)</f>
        <v>Blend 2</v>
      </c>
      <c r="B78" s="64" t="e">
        <f>IF(ISBLANK(Pbi2),NA(),Pbi2)</f>
        <v>#N/A</v>
      </c>
      <c r="C78" s="130">
        <f>'Densification Report'!K23</f>
      </c>
      <c r="D78" s="130">
        <f>IF(CompacMode=2,'Densification Report'!K25,'Densification Report'!K24)</f>
      </c>
      <c r="E78" s="160">
        <f>IF(ISERROR(Calculations!G50),"",Calculations!G50)</f>
      </c>
      <c r="F78" s="181">
        <f>Dust2</f>
      </c>
    </row>
    <row r="79" spans="1:6" ht="14.25">
      <c r="A79" s="136" t="str">
        <f>IF(BlendID3="","Blend 3",BlendID3)</f>
        <v>Blend 3</v>
      </c>
      <c r="B79" s="64" t="e">
        <f>IF(ISBLANK(Pbi3),NA(),Pbi3)</f>
        <v>#N/A</v>
      </c>
      <c r="C79" s="130">
        <f>'Densification Report'!K34</f>
      </c>
      <c r="D79" s="130">
        <f>IF(CompacMode=2,'Densification Report'!K36,'Densification Report'!K35)</f>
      </c>
      <c r="E79" s="160">
        <f>IF(ISERROR(Calculations!G51),"",Calculations!G51)</f>
      </c>
      <c r="F79" s="181">
        <f>Dust3</f>
      </c>
    </row>
    <row r="80" spans="1:6" ht="15" thickBot="1">
      <c r="A80" s="137" t="str">
        <f>IF(BlendID4="","Blend 4",BlendID4)</f>
        <v>Blend 4</v>
      </c>
      <c r="B80" s="67" t="e">
        <f>IF(ISBLANK(Pbi4),NA(),Pbi4)</f>
        <v>#N/A</v>
      </c>
      <c r="C80" s="132">
        <f>'Densification Report'!K45</f>
      </c>
      <c r="D80" s="132">
        <f>IF(CompacMode=2,'Densification Report'!K47,'Densification Report'!K46)</f>
      </c>
      <c r="E80" s="162">
        <f>IF(ISERROR(Calculations!G52),"",Calculations!G52)</f>
      </c>
      <c r="F80" s="182">
        <f>Dust4</f>
      </c>
    </row>
    <row r="81" spans="1:6" ht="12.75">
      <c r="A81"/>
      <c r="B81"/>
      <c r="C81"/>
      <c r="D81"/>
      <c r="E81"/>
      <c r="F81"/>
    </row>
    <row r="82" spans="1:6" ht="12.75">
      <c r="A82"/>
      <c r="B82"/>
      <c r="C82"/>
      <c r="D82"/>
      <c r="E82"/>
      <c r="F82"/>
    </row>
  </sheetData>
  <printOptions horizontalCentered="1"/>
  <pageMargins left="0.75" right="0.75" top="1" bottom="2.23" header="0.5" footer="0.5"/>
  <pageSetup blackAndWhite="1" horizontalDpi="240" verticalDpi="240" orientation="portrait" r:id="rId3"/>
  <headerFooter alignWithMargins="0">
    <oddHeader>&amp;L&amp;A</oddHeader>
    <oddFooter>&amp;R&amp;D, &amp;T</oddFooter>
  </headerFooter>
  <rowBreaks count="1" manualBreakCount="1">
    <brk id="40" max="65535" man="1"/>
  </rowBreaks>
  <drawing r:id="rId2"/>
  <legacyDrawing r:id="rId1"/>
</worksheet>
</file>

<file path=xl/worksheets/sheet11.xml><?xml version="1.0" encoding="utf-8"?>
<worksheet xmlns="http://schemas.openxmlformats.org/spreadsheetml/2006/main" xmlns:r="http://schemas.openxmlformats.org/officeDocument/2006/relationships">
  <sheetPr codeName="Sheet11"/>
  <dimension ref="K3:O26"/>
  <sheetViews>
    <sheetView zoomScale="92" zoomScaleNormal="92" workbookViewId="0" topLeftCell="A1">
      <selection activeCell="N7" sqref="N7"/>
    </sheetView>
  </sheetViews>
  <sheetFormatPr defaultColWidth="9.140625" defaultRowHeight="12.75"/>
  <cols>
    <col min="1" max="10" width="9.140625" style="15" customWidth="1"/>
    <col min="11" max="11" width="4.28125" style="15" customWidth="1"/>
    <col min="12" max="12" width="17.140625" style="15" customWidth="1"/>
    <col min="13" max="16384" width="9.140625" style="15" customWidth="1"/>
  </cols>
  <sheetData>
    <row r="1" ht="12.75"/>
    <row r="2" ht="12.75"/>
    <row r="3" spans="11:15" ht="13.5" thickBot="1">
      <c r="K3" s="169"/>
      <c r="L3" s="169"/>
      <c r="M3" s="169"/>
      <c r="N3" s="169"/>
      <c r="O3" s="169"/>
    </row>
    <row r="4" spans="11:15" ht="12.75">
      <c r="K4" s="169"/>
      <c r="L4" s="598" t="s">
        <v>116</v>
      </c>
      <c r="M4" s="599"/>
      <c r="N4" s="600"/>
      <c r="O4" s="169"/>
    </row>
    <row r="5" spans="11:15" ht="12.75">
      <c r="K5" s="169"/>
      <c r="L5" s="601"/>
      <c r="M5" s="602" t="s">
        <v>117</v>
      </c>
      <c r="N5" s="603" t="s">
        <v>118</v>
      </c>
      <c r="O5" s="169"/>
    </row>
    <row r="6" spans="11:15" ht="12.75">
      <c r="K6" s="169"/>
      <c r="L6" s="604" t="s">
        <v>119</v>
      </c>
      <c r="M6" s="450">
        <v>2</v>
      </c>
      <c r="N6" s="597">
        <v>8</v>
      </c>
      <c r="O6" s="169"/>
    </row>
    <row r="7" spans="11:15" ht="12.75">
      <c r="K7" s="169"/>
      <c r="L7" s="604" t="s">
        <v>120</v>
      </c>
      <c r="M7" s="450">
        <v>4</v>
      </c>
      <c r="N7" s="597">
        <v>6</v>
      </c>
      <c r="O7" s="169"/>
    </row>
    <row r="8" spans="11:15" ht="12.75">
      <c r="K8" s="169"/>
      <c r="L8" s="531"/>
      <c r="M8" s="20"/>
      <c r="N8" s="472"/>
      <c r="O8" s="169"/>
    </row>
    <row r="9" spans="11:15" ht="12.75">
      <c r="K9" s="169"/>
      <c r="L9" s="531"/>
      <c r="M9" s="20"/>
      <c r="N9" s="472"/>
      <c r="O9" s="169"/>
    </row>
    <row r="10" spans="11:15" ht="12.75">
      <c r="K10" s="169"/>
      <c r="L10" s="531"/>
      <c r="M10" s="20"/>
      <c r="N10" s="472"/>
      <c r="O10" s="169"/>
    </row>
    <row r="11" spans="11:15" ht="12.75">
      <c r="K11" s="169"/>
      <c r="L11" s="531"/>
      <c r="M11" s="20"/>
      <c r="N11" s="472"/>
      <c r="O11" s="169"/>
    </row>
    <row r="12" spans="11:15" ht="12.75">
      <c r="K12" s="169"/>
      <c r="L12" s="531"/>
      <c r="M12" s="20"/>
      <c r="N12" s="472"/>
      <c r="O12" s="169"/>
    </row>
    <row r="13" spans="11:15" ht="13.5" thickBot="1">
      <c r="K13" s="169"/>
      <c r="L13" s="605"/>
      <c r="M13" s="606"/>
      <c r="N13" s="607"/>
      <c r="O13" s="169"/>
    </row>
    <row r="14" spans="11:15" ht="13.5" thickBot="1">
      <c r="K14" s="169"/>
      <c r="L14" s="169"/>
      <c r="M14" s="169"/>
      <c r="N14" s="169"/>
      <c r="O14" s="169"/>
    </row>
    <row r="15" spans="12:15" ht="27" customHeight="1">
      <c r="L15" s="609" t="s">
        <v>89</v>
      </c>
      <c r="M15" s="610" t="s">
        <v>90</v>
      </c>
      <c r="N15" s="611" t="str">
        <f>IF(CompacMode=2,"Air Voids @ Nmax","")</f>
        <v>Air Voids @ Nmax</v>
      </c>
      <c r="O15" s="612" t="s">
        <v>121</v>
      </c>
    </row>
    <row r="16" spans="12:15" ht="14.25">
      <c r="L16" s="613" t="str">
        <f>IF(BlendID1="","Blend 1",BlendID1)</f>
        <v>Blend 1</v>
      </c>
      <c r="M16" s="65" t="e">
        <f>'Varying %AC Report'!B37</f>
        <v>#N/A</v>
      </c>
      <c r="N16" s="65">
        <f>IF(CompacMode=2,'Varying %AC Report'!C37,"")</f>
      </c>
      <c r="O16" s="181">
        <f>'Varying %AC Report'!D37</f>
      </c>
    </row>
    <row r="17" spans="12:15" ht="14.25">
      <c r="L17" s="613" t="str">
        <f>IF(BlendID2="","Blend 2",BlendID2)</f>
        <v>Blend 2</v>
      </c>
      <c r="M17" s="65" t="e">
        <f>'Varying %AC Report'!B38</f>
        <v>#N/A</v>
      </c>
      <c r="N17" s="65">
        <f>IF(CompacMode=2,'Varying %AC Report'!C38,"")</f>
      </c>
      <c r="O17" s="181">
        <f>'Varying %AC Report'!D38</f>
      </c>
    </row>
    <row r="18" spans="12:15" ht="14.25">
      <c r="L18" s="613" t="str">
        <f>IF(BlendID3="","Blend 3",BlendID3)</f>
        <v>Blend 3</v>
      </c>
      <c r="M18" s="65" t="e">
        <f>'Varying %AC Report'!B39</f>
        <v>#N/A</v>
      </c>
      <c r="N18" s="65">
        <f>IF(CompacMode=2,'Varying %AC Report'!C39,"")</f>
      </c>
      <c r="O18" s="181">
        <f>'Varying %AC Report'!D39</f>
      </c>
    </row>
    <row r="19" spans="12:15" ht="15" thickBot="1">
      <c r="L19" s="614" t="str">
        <f>IF(BlendID4="","Blend 4",BlendID4)</f>
        <v>Blend 4</v>
      </c>
      <c r="M19" s="68" t="e">
        <f>'Varying %AC Report'!B40</f>
        <v>#N/A</v>
      </c>
      <c r="N19" s="68">
        <f>IF(CompacMode=2,'Varying %AC Report'!C40,"")</f>
      </c>
      <c r="O19" s="182">
        <f>'Varying %AC Report'!D40</f>
      </c>
    </row>
    <row r="20" ht="12.75">
      <c r="N20" s="608"/>
    </row>
    <row r="21" ht="12.75">
      <c r="N21" s="608"/>
    </row>
    <row r="22" ht="12.75">
      <c r="N22" s="608"/>
    </row>
    <row r="23" ht="12.75">
      <c r="N23" s="608"/>
    </row>
    <row r="24" ht="12.75">
      <c r="N24" s="608"/>
    </row>
    <row r="25" ht="12.75">
      <c r="N25" s="608"/>
    </row>
    <row r="26" ht="12.75">
      <c r="N26" s="608"/>
    </row>
  </sheetData>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M32"/>
  <sheetViews>
    <sheetView zoomScale="75" zoomScaleNormal="75" workbookViewId="0" topLeftCell="A1">
      <selection activeCell="D9" sqref="D9"/>
    </sheetView>
  </sheetViews>
  <sheetFormatPr defaultColWidth="9.140625" defaultRowHeight="12.75"/>
  <cols>
    <col min="1" max="1" width="40.421875" style="255" customWidth="1"/>
    <col min="2" max="5" width="15.8515625" style="286" customWidth="1"/>
    <col min="6" max="6" width="10.421875" style="255" customWidth="1"/>
    <col min="7" max="7" width="9.8515625" style="255" customWidth="1"/>
    <col min="8" max="8" width="9.140625" style="255" customWidth="1"/>
    <col min="9" max="16384" width="9.140625" style="15" customWidth="1"/>
  </cols>
  <sheetData>
    <row r="1" spans="1:7" s="251" customFormat="1" ht="28.5" thickBot="1">
      <c r="A1" s="359" t="str">
        <f>"Mixture Summary Report for "&amp;CHOOSE(TrialType,"Trial Aggregate Blend Analysis","Varying %AC Analysis")</f>
        <v>Mixture Summary Report for Varying %AC Analysis</v>
      </c>
      <c r="B1" s="360"/>
      <c r="C1" s="360"/>
      <c r="D1" s="360"/>
      <c r="E1" s="360"/>
      <c r="F1" s="360"/>
      <c r="G1" s="360"/>
    </row>
    <row r="2" spans="1:7" ht="18">
      <c r="A2" s="247" t="s">
        <v>6</v>
      </c>
      <c r="B2" s="252">
        <f>TEXT(ProjectDescription,"")</f>
      </c>
      <c r="C2" s="253"/>
      <c r="D2" s="247" t="s">
        <v>74</v>
      </c>
      <c r="E2" s="15"/>
      <c r="F2" s="15"/>
      <c r="G2" s="254">
        <f>NINI</f>
        <v>7</v>
      </c>
    </row>
    <row r="3" spans="1:13" s="255" customFormat="1" ht="18">
      <c r="A3" s="247" t="s">
        <v>5</v>
      </c>
      <c r="B3" s="252" t="str">
        <f>WorkbookName</f>
        <v>Pine-Prj.xlt</v>
      </c>
      <c r="C3" s="256"/>
      <c r="D3" s="247" t="s">
        <v>75</v>
      </c>
      <c r="E3" s="15"/>
      <c r="F3" s="15"/>
      <c r="G3" s="254">
        <f>NDES</f>
        <v>75</v>
      </c>
      <c r="K3" s="257"/>
      <c r="L3" s="257"/>
      <c r="M3" s="257"/>
    </row>
    <row r="4" spans="1:13" s="255" customFormat="1" ht="18">
      <c r="A4" s="247" t="s">
        <v>7</v>
      </c>
      <c r="B4" s="252">
        <f>TEXT(Technician,"")</f>
      </c>
      <c r="C4" s="256"/>
      <c r="D4" s="247" t="s">
        <v>76</v>
      </c>
      <c r="E4" s="15"/>
      <c r="F4" s="15"/>
      <c r="G4" s="254">
        <f>NMAX</f>
        <v>115</v>
      </c>
      <c r="K4" s="257"/>
      <c r="L4" s="257"/>
      <c r="M4" s="257"/>
    </row>
    <row r="5" spans="1:13" s="255" customFormat="1" ht="18">
      <c r="A5" s="247" t="s">
        <v>8</v>
      </c>
      <c r="B5" s="258">
        <f>IF(ISBLANK(ProjectDate),"",TEXT(ProjectDate,"m/d/y"))</f>
      </c>
      <c r="C5" s="256"/>
      <c r="D5" s="393" t="s">
        <v>16</v>
      </c>
      <c r="E5" s="15"/>
      <c r="F5" s="15"/>
      <c r="G5" s="394" t="str">
        <f>Sieve&amp;" mm"</f>
        <v>19 mm</v>
      </c>
      <c r="K5" s="257"/>
      <c r="L5" s="257"/>
      <c r="M5" s="257"/>
    </row>
    <row r="6" spans="1:13" s="255" customFormat="1" ht="18">
      <c r="A6" s="247" t="s">
        <v>9</v>
      </c>
      <c r="B6" s="254">
        <f>TEXT(Grade,"")</f>
      </c>
      <c r="C6" s="256"/>
      <c r="D6" s="248" t="s">
        <v>122</v>
      </c>
      <c r="E6" s="15"/>
      <c r="F6" s="15"/>
      <c r="G6" s="259" t="str">
        <f>TEXT(CompacTemp,"### °C")</f>
        <v> °C</v>
      </c>
      <c r="K6" s="257"/>
      <c r="L6" s="257"/>
      <c r="M6" s="257"/>
    </row>
    <row r="7" spans="1:13" s="255" customFormat="1" ht="18">
      <c r="A7" s="304"/>
      <c r="B7" s="169"/>
      <c r="C7" s="260"/>
      <c r="D7" s="247" t="s">
        <v>123</v>
      </c>
      <c r="E7" s="15"/>
      <c r="F7" s="15"/>
      <c r="G7" s="254" t="str">
        <f>TEXT(MixTemp,"##°C")</f>
        <v>°C</v>
      </c>
      <c r="K7" s="257"/>
      <c r="L7" s="257"/>
      <c r="M7" s="257"/>
    </row>
    <row r="8" spans="1:13" s="255" customFormat="1" ht="18">
      <c r="A8" s="248" t="s">
        <v>10</v>
      </c>
      <c r="B8" s="259" t="str">
        <f>TEXT(ESALS,"##.#")</f>
        <v>.3</v>
      </c>
      <c r="C8" s="261"/>
      <c r="D8" s="248" t="s">
        <v>124</v>
      </c>
      <c r="E8" s="262"/>
      <c r="F8" s="262"/>
      <c r="G8" s="254" t="str">
        <f>IF(ISBLANK(Depth),"",Depth&amp;" mm")</f>
        <v>30 mm</v>
      </c>
      <c r="K8" s="257"/>
      <c r="L8" s="257"/>
      <c r="M8" s="257"/>
    </row>
    <row r="9" spans="1:13" s="255" customFormat="1" ht="18.75" thickBot="1">
      <c r="A9" s="250" t="s">
        <v>17</v>
      </c>
      <c r="B9" s="263" t="str">
        <f>TEXT(Temperature,"##°C")</f>
        <v>°C</v>
      </c>
      <c r="C9" s="264"/>
      <c r="D9" s="356" t="s">
        <v>125</v>
      </c>
      <c r="E9" s="357"/>
      <c r="F9" s="355"/>
      <c r="G9" s="354" t="str">
        <f>CHOOSE(DiamIndex,"100 mm","150 mm")</f>
        <v>150 mm</v>
      </c>
      <c r="K9" s="257"/>
      <c r="L9" s="257"/>
      <c r="M9" s="257"/>
    </row>
    <row r="10" spans="1:13" s="255" customFormat="1" ht="15">
      <c r="A10" s="15"/>
      <c r="B10" s="15"/>
      <c r="C10" s="265"/>
      <c r="D10" s="265"/>
      <c r="E10" s="265"/>
      <c r="F10" s="257"/>
      <c r="G10" s="257"/>
      <c r="H10" s="257"/>
      <c r="I10" s="257"/>
      <c r="J10" s="257"/>
      <c r="K10" s="257"/>
      <c r="L10" s="257"/>
      <c r="M10" s="257"/>
    </row>
    <row r="11" spans="1:7" s="255" customFormat="1" ht="18.75" thickBot="1">
      <c r="A11" s="266"/>
      <c r="B11" s="267" t="s">
        <v>126</v>
      </c>
      <c r="C11" s="267"/>
      <c r="D11" s="267"/>
      <c r="E11" s="267"/>
      <c r="F11" s="266"/>
      <c r="G11" s="266"/>
    </row>
    <row r="12" spans="1:7" s="255" customFormat="1" ht="18.75" thickBot="1">
      <c r="A12" s="268" t="s">
        <v>127</v>
      </c>
      <c r="B12" s="317" t="str">
        <f>IF(BlendID1="","Blend 1",BlendID1)</f>
        <v>Blend 1</v>
      </c>
      <c r="C12" s="317" t="str">
        <f>IF(BlendID2="","Blend 2",BlendID2)</f>
        <v>Blend 2</v>
      </c>
      <c r="D12" s="317" t="str">
        <f>IF(BlendID3="","Blend 3",BlendID3)</f>
        <v>Blend 3</v>
      </c>
      <c r="E12" s="317" t="str">
        <f>IF(BlendID4="","Blend 4",BlendID4)</f>
        <v>Blend 4</v>
      </c>
      <c r="F12" s="269" t="s">
        <v>128</v>
      </c>
      <c r="G12" s="267"/>
    </row>
    <row r="13" spans="1:7" s="255" customFormat="1" ht="15">
      <c r="A13"/>
      <c r="B13"/>
      <c r="C13"/>
      <c r="D13"/>
      <c r="E13"/>
      <c r="F13" s="388"/>
      <c r="G13" s="389"/>
    </row>
    <row r="14" spans="1:7" s="255" customFormat="1" ht="15">
      <c r="A14" s="265" t="s">
        <v>90</v>
      </c>
      <c r="B14" s="395">
        <f>IF(ISBLANK(Pbi1),"",Pbi1)</f>
      </c>
      <c r="C14" s="395">
        <f>IF(ISBLANK(Pbi2),"",Pbi2)</f>
      </c>
      <c r="D14" s="395">
        <f>IF(ISBLANK(Pbi3),"",Pbi3)</f>
      </c>
      <c r="E14" s="395">
        <f>IF(ISBLANK(Pbi4),"",Pbi4)</f>
      </c>
      <c r="F14" s="388"/>
      <c r="G14" s="389"/>
    </row>
    <row r="15" spans="1:7" s="255" customFormat="1" ht="21">
      <c r="A15" s="265" t="s">
        <v>129</v>
      </c>
      <c r="B15" s="270">
        <f>IF(ISERROR(AirVoids1),"",AirVoids1)</f>
      </c>
      <c r="C15" s="270">
        <f>IF(ISERROR(AirVoids2),"",AirVoids2)</f>
      </c>
      <c r="D15" s="270">
        <f>IF(ISERROR(AirVoids3),"",AirVoids3)</f>
      </c>
      <c r="E15" s="270">
        <f>IF(ISERROR(AirVoids4),"",AirVoids4)</f>
      </c>
      <c r="F15" s="274">
        <v>4</v>
      </c>
      <c r="G15" s="272" t="s">
        <v>130</v>
      </c>
    </row>
    <row r="16" spans="1:7" s="255" customFormat="1" ht="15">
      <c r="A16" s="265"/>
      <c r="B16" s="275"/>
      <c r="C16" s="276"/>
      <c r="D16" s="276"/>
      <c r="E16" s="276"/>
      <c r="F16" s="277"/>
      <c r="G16" s="278"/>
    </row>
    <row r="17" spans="1:7" s="255" customFormat="1" ht="15">
      <c r="A17" s="265" t="s">
        <v>131</v>
      </c>
      <c r="B17" s="270">
        <f>IF(ISERROR(VMA1),"",VMA1)</f>
      </c>
      <c r="C17" s="270">
        <f>IF(ISERROR(VMA2),"",VMA2)</f>
      </c>
      <c r="D17" s="270">
        <f>IF(ISERROR(VMA3),"",VMA3)</f>
      </c>
      <c r="E17" s="270">
        <f>IF(ISERROR(VMA4),"",VMA4)</f>
      </c>
      <c r="F17" s="446">
        <f>VLOOKUP(Sieve,Specs!C31:D36,2)</f>
        <v>13</v>
      </c>
      <c r="G17" s="279" t="s">
        <v>132</v>
      </c>
    </row>
    <row r="18" spans="1:7" s="255" customFormat="1" ht="15">
      <c r="A18" s="265" t="s">
        <v>133</v>
      </c>
      <c r="B18" s="270">
        <f>IF(ISERROR(VMA1),"",100*((VMA1-AirVoids1)/VMA1))</f>
      </c>
      <c r="C18" s="270">
        <f>IF(ISERROR(VMA2),"",100*((VMA2-AirVoids2)/VMA2))</f>
      </c>
      <c r="D18" s="270">
        <f>IF(ISERROR(VMA3),"",100*((VMA3-AirVoids3)/VMA3))</f>
      </c>
      <c r="E18" s="270">
        <f>IF(ISERROR(VMA4),"",100*((VMA4-AirVoids4)/VMA4))</f>
      </c>
      <c r="F18" s="403">
        <f>VFAMin</f>
        <v>65</v>
      </c>
      <c r="G18" s="279" t="s">
        <v>132</v>
      </c>
    </row>
    <row r="19" spans="1:7" s="255" customFormat="1" ht="15">
      <c r="A19" s="265"/>
      <c r="B19" s="280"/>
      <c r="C19" s="276"/>
      <c r="D19" s="276"/>
      <c r="E19" s="276"/>
      <c r="F19" s="403">
        <f>VFAMax</f>
        <v>78</v>
      </c>
      <c r="G19" s="279" t="s">
        <v>134</v>
      </c>
    </row>
    <row r="20" spans="1:7" s="255" customFormat="1" ht="15">
      <c r="A20" s="265" t="s">
        <v>135</v>
      </c>
      <c r="B20" s="270">
        <f>Dust1</f>
      </c>
      <c r="C20" s="270">
        <f>Dust2</f>
      </c>
      <c r="D20" s="270">
        <f>Dust3</f>
      </c>
      <c r="E20" s="270">
        <f>Dust4</f>
      </c>
      <c r="F20" s="403" t="str">
        <f>DustMin&amp;" - "&amp;DustMax</f>
        <v>0.6 - 1.2</v>
      </c>
      <c r="G20" s="279" t="s">
        <v>130</v>
      </c>
    </row>
    <row r="21" spans="1:13" s="255" customFormat="1" ht="15">
      <c r="A21" s="265"/>
      <c r="B21" s="280"/>
      <c r="C21" s="276"/>
      <c r="D21" s="276"/>
      <c r="E21" s="276"/>
      <c r="F21" s="277"/>
      <c r="G21" s="281"/>
      <c r="I21" s="15"/>
      <c r="J21" s="15"/>
      <c r="K21" s="15"/>
      <c r="L21" s="15"/>
      <c r="M21" s="15"/>
    </row>
    <row r="22" spans="1:13" s="255" customFormat="1" ht="21">
      <c r="A22" s="265" t="s">
        <v>136</v>
      </c>
      <c r="B22" s="358">
        <f>IF(ISERROR(AvgGmm1),"",AvgGmm1)</f>
        <v>0</v>
      </c>
      <c r="C22" s="358">
        <f>IF(ISERROR(AvgGmm2),"",AvgGmm2)</f>
        <v>0</v>
      </c>
      <c r="D22" s="358">
        <f>IF(ISERROR(AvgGmm3),"",AvgGmm3)</f>
        <v>0</v>
      </c>
      <c r="E22" s="358">
        <f>IF(ISERROR(AvgGmm4),"",AvgGmm4)</f>
        <v>0</v>
      </c>
      <c r="F22" s="277"/>
      <c r="G22" s="281"/>
      <c r="I22" s="15"/>
      <c r="J22" s="15"/>
      <c r="K22" s="15"/>
      <c r="L22" s="15"/>
      <c r="M22" s="15"/>
    </row>
    <row r="23" spans="1:13" s="255" customFormat="1" ht="21">
      <c r="A23" s="265" t="s">
        <v>137</v>
      </c>
      <c r="B23" s="358">
        <f>IF(ISERROR(AvgGmb1),"",AvgGmb1)</f>
      </c>
      <c r="C23" s="358">
        <f>IF(ISERROR(AvgGmb2),"",AvgGmb2)</f>
      </c>
      <c r="D23" s="358">
        <f>IF(ISERROR(AvgGmb3),"",AvgGmb3)</f>
      </c>
      <c r="E23" s="358">
        <f>IF(ISERROR(AvgGmb4),"",AvgGmb4)</f>
      </c>
      <c r="F23" s="277"/>
      <c r="G23" s="281"/>
      <c r="I23" s="15"/>
      <c r="J23" s="15"/>
      <c r="K23" s="15"/>
      <c r="L23" s="15"/>
      <c r="M23" s="15"/>
    </row>
    <row r="24" spans="1:13" s="255" customFormat="1" ht="15">
      <c r="A24" s="265"/>
      <c r="B24" s="280"/>
      <c r="C24" s="276"/>
      <c r="D24" s="276"/>
      <c r="E24" s="276"/>
      <c r="F24" s="277"/>
      <c r="G24" s="281"/>
      <c r="I24" s="15"/>
      <c r="J24" s="15"/>
      <c r="K24" s="15"/>
      <c r="L24" s="15"/>
      <c r="M24" s="15"/>
    </row>
    <row r="25" spans="1:13" s="255" customFormat="1" ht="21" customHeight="1">
      <c r="A25" s="265" t="s">
        <v>138</v>
      </c>
      <c r="B25" s="270">
        <f>'Densification Report'!$K12</f>
      </c>
      <c r="C25" s="270">
        <f>'Densification Report'!$K23</f>
      </c>
      <c r="D25" s="270">
        <f>'Densification Report'!$K34</f>
      </c>
      <c r="E25" s="270">
        <f>'Densification Report'!$K45</f>
      </c>
      <c r="F25" s="403">
        <f>NiniLim</f>
        <v>90.5</v>
      </c>
      <c r="G25" s="279" t="s">
        <v>134</v>
      </c>
      <c r="I25" s="15"/>
      <c r="J25" s="15"/>
      <c r="K25" s="15"/>
      <c r="L25" s="15"/>
      <c r="M25" s="15"/>
    </row>
    <row r="26" spans="1:13" s="255" customFormat="1" ht="21" customHeight="1">
      <c r="A26" s="265" t="s">
        <v>139</v>
      </c>
      <c r="B26" s="270">
        <f>'Densification Report'!$K13</f>
      </c>
      <c r="C26" s="270">
        <f>'Densification Report'!$K24</f>
      </c>
      <c r="D26" s="270">
        <f>'Densification Report'!$K35</f>
      </c>
      <c r="E26" s="270">
        <f>'Densification Report'!$K46</f>
      </c>
      <c r="F26" s="403">
        <v>96</v>
      </c>
      <c r="G26" s="279" t="s">
        <v>134</v>
      </c>
      <c r="I26" s="15"/>
      <c r="J26" s="15"/>
      <c r="K26" s="15"/>
      <c r="L26" s="15"/>
      <c r="M26" s="15"/>
    </row>
    <row r="27" spans="1:13" s="255" customFormat="1" ht="21" customHeight="1">
      <c r="A27" s="265" t="s">
        <v>140</v>
      </c>
      <c r="B27" s="270">
        <f>'Densification Report'!$K14</f>
      </c>
      <c r="C27" s="270">
        <f>'Densification Report'!$K25</f>
      </c>
      <c r="D27" s="270">
        <f>'Densification Report'!$K36</f>
      </c>
      <c r="E27" s="270">
        <f>'Densification Report'!$K47</f>
      </c>
      <c r="F27" s="403">
        <v>98</v>
      </c>
      <c r="G27" s="279" t="s">
        <v>134</v>
      </c>
      <c r="I27" s="15"/>
      <c r="J27" s="15"/>
      <c r="K27" s="15"/>
      <c r="L27" s="15"/>
      <c r="M27" s="15"/>
    </row>
    <row r="28" spans="1:13" s="255" customFormat="1" ht="15">
      <c r="A28" s="265"/>
      <c r="B28" s="280"/>
      <c r="C28" s="276"/>
      <c r="D28" s="276"/>
      <c r="E28" s="276"/>
      <c r="F28" s="277"/>
      <c r="G28" s="278"/>
      <c r="I28" s="15"/>
      <c r="J28" s="15"/>
      <c r="K28" s="15"/>
      <c r="L28" s="15"/>
      <c r="M28" s="15"/>
    </row>
    <row r="29" spans="1:13" s="255" customFormat="1" ht="21">
      <c r="A29" s="265" t="s">
        <v>141</v>
      </c>
      <c r="B29" s="273">
        <f>IF(ISERROR('Dust Proportion'!Gse1),"",'Dust Proportion'!Gse1)</f>
      </c>
      <c r="C29" s="273">
        <f>IF(ISERROR('Dust Proportion'!Gse2),"",'Dust Proportion'!Gse2)</f>
      </c>
      <c r="D29" s="273">
        <f>IF(ISERROR('Dust Proportion'!Gse3),"",'Dust Proportion'!Gse3)</f>
      </c>
      <c r="E29" s="273">
        <f>IF(ISERROR('Dust Proportion'!Gse4),"",'Dust Proportion'!Gse4)</f>
      </c>
      <c r="F29" s="271" t="s">
        <v>142</v>
      </c>
      <c r="G29" s="272"/>
      <c r="I29" s="15"/>
      <c r="J29" s="15"/>
      <c r="K29" s="15"/>
      <c r="L29" s="15"/>
      <c r="M29" s="15"/>
    </row>
    <row r="30" spans="1:13" s="255" customFormat="1" ht="21">
      <c r="A30" s="265" t="s">
        <v>143</v>
      </c>
      <c r="B30" s="273">
        <f>IF(ISBLANK('Dust Proportion'!G_b1),"",'Dust Proportion'!G_b1)</f>
      </c>
      <c r="C30" s="273">
        <f>IF(ISBLANK('Dust Proportion'!G_b2),"",'Dust Proportion'!G_b2)</f>
      </c>
      <c r="D30" s="273">
        <f>IF(ISBLANK('Dust Proportion'!G_b3),"",'Dust Proportion'!G_b3)</f>
      </c>
      <c r="E30" s="273">
        <f>IF(ISBLANK('Dust Proportion'!G_b4),"",'Dust Proportion'!G_b4)</f>
      </c>
      <c r="F30" s="271" t="s">
        <v>142</v>
      </c>
      <c r="G30" s="272"/>
      <c r="I30" s="15"/>
      <c r="J30" s="447"/>
      <c r="K30" s="15"/>
      <c r="L30" s="15"/>
      <c r="M30" s="15"/>
    </row>
    <row r="31" spans="1:13" s="255" customFormat="1" ht="21">
      <c r="A31" s="265" t="s">
        <v>144</v>
      </c>
      <c r="B31" s="273">
        <f>IF(ISBLANK(Gsb1),"",Gsb1)</f>
      </c>
      <c r="C31" s="273">
        <f>IF(ISBLANK(Gsb2),"",Gsb2)</f>
      </c>
      <c r="D31" s="273">
        <f>IF(ISBLANK(Gsb3),"",Gsb3)</f>
      </c>
      <c r="E31" s="273">
        <f>IF(ISBLANK(Gsb4),"",Gsb4)</f>
      </c>
      <c r="F31" s="271" t="s">
        <v>142</v>
      </c>
      <c r="G31" s="272"/>
      <c r="I31" s="15"/>
      <c r="J31" s="15"/>
      <c r="K31" s="15"/>
      <c r="L31" s="15"/>
      <c r="M31" s="15"/>
    </row>
    <row r="32" spans="1:13" s="255" customFormat="1" ht="15.75" thickBot="1">
      <c r="A32" s="282"/>
      <c r="B32" s="283"/>
      <c r="C32" s="284"/>
      <c r="D32" s="284"/>
      <c r="E32" s="284"/>
      <c r="F32" s="282"/>
      <c r="G32" s="285"/>
      <c r="I32" s="15"/>
      <c r="J32" s="15"/>
      <c r="K32" s="15"/>
      <c r="L32" s="15"/>
      <c r="M32" s="15"/>
    </row>
  </sheetData>
  <sheetProtection sheet="1" objects="1" scenarios="1"/>
  <printOptions horizontalCentered="1" verticalCentered="1"/>
  <pageMargins left="0.75" right="0.75" top="1" bottom="1" header="0.5" footer="0.5"/>
  <pageSetup blackAndWhite="1" fitToHeight="1" fitToWidth="1" horizontalDpi="300" verticalDpi="300" orientation="landscape" scale="83" r:id="rId4"/>
  <drawing r:id="rId3"/>
  <legacyDrawing r:id="rId2"/>
</worksheet>
</file>

<file path=xl/worksheets/sheet13.xml><?xml version="1.0" encoding="utf-8"?>
<worksheet xmlns="http://schemas.openxmlformats.org/spreadsheetml/2006/main" xmlns:r="http://schemas.openxmlformats.org/officeDocument/2006/relationships">
  <sheetPr codeName="Sheet13"/>
  <dimension ref="A1:J1"/>
  <sheetViews>
    <sheetView workbookViewId="0" topLeftCell="A1">
      <selection activeCell="D9" sqref="D9"/>
    </sheetView>
  </sheetViews>
  <sheetFormatPr defaultColWidth="9.140625" defaultRowHeight="12.75"/>
  <sheetData>
    <row r="1" spans="1:10" ht="15.75" thickBot="1">
      <c r="A1" s="174" t="s">
        <v>145</v>
      </c>
      <c r="B1" s="175"/>
      <c r="C1" s="175"/>
      <c r="D1" s="175"/>
      <c r="E1" s="175"/>
      <c r="F1" s="175"/>
      <c r="G1" s="175"/>
      <c r="H1" s="175"/>
      <c r="I1" s="175"/>
      <c r="J1" s="176"/>
    </row>
  </sheetData>
  <sheetProtection sheet="1" objects="1" scenarios="1"/>
  <printOptions/>
  <pageMargins left="0.55" right="0.75" top="1" bottom="1" header="0.5" footer="0.5"/>
  <pageSetup blackAndWhite="1" horizontalDpi="120" verticalDpi="120" orientation="portrait" r:id="rId2"/>
  <headerFooter alignWithMargins="0">
    <oddHeader>&amp;LIndividual Specimens Report&amp;R&amp;F</oddHeader>
    <oddFooter>&amp;R&amp;D, &amp;T</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Q38"/>
  <sheetViews>
    <sheetView showGridLines="0" showRowColHeaders="0" workbookViewId="0" topLeftCell="A1">
      <selection activeCell="A40" sqref="A40"/>
    </sheetView>
  </sheetViews>
  <sheetFormatPr defaultColWidth="9.140625" defaultRowHeight="12.75"/>
  <cols>
    <col min="1" max="1" width="2.28125" style="405" customWidth="1"/>
    <col min="2" max="2" width="11.8515625" style="405" customWidth="1"/>
    <col min="3" max="3" width="12.8515625" style="405" customWidth="1"/>
    <col min="4" max="11" width="7.28125" style="405" customWidth="1"/>
    <col min="12" max="12" width="4.421875" style="405" customWidth="1"/>
    <col min="13" max="16" width="9.140625" style="405" customWidth="1"/>
    <col min="17" max="17" width="13.57421875" style="405" customWidth="1"/>
    <col min="18" max="16384" width="9.140625" style="405" customWidth="1"/>
  </cols>
  <sheetData>
    <row r="1" spans="1:17" ht="24" customHeight="1">
      <c r="A1" s="485" t="s">
        <v>146</v>
      </c>
      <c r="B1" s="486"/>
      <c r="C1" s="486"/>
      <c r="D1" s="486"/>
      <c r="E1" s="486"/>
      <c r="F1" s="486"/>
      <c r="G1" s="486"/>
      <c r="H1" s="486"/>
      <c r="I1" s="486"/>
      <c r="J1" s="486"/>
      <c r="K1" s="486"/>
      <c r="L1" s="487"/>
      <c r="M1" s="488" t="s">
        <v>147</v>
      </c>
      <c r="N1" s="489"/>
      <c r="O1" s="489"/>
      <c r="P1" s="489"/>
      <c r="Q1" s="490"/>
    </row>
    <row r="2" spans="1:17" ht="16.5" customHeight="1" thickBot="1">
      <c r="A2" s="476"/>
      <c r="B2" s="355"/>
      <c r="C2" s="355"/>
      <c r="D2" s="355"/>
      <c r="E2" s="355"/>
      <c r="F2" s="355"/>
      <c r="G2" s="355"/>
      <c r="H2" s="355"/>
      <c r="I2" s="355"/>
      <c r="J2" s="355"/>
      <c r="K2" s="355"/>
      <c r="L2" s="477"/>
      <c r="M2" s="491" t="s">
        <v>148</v>
      </c>
      <c r="N2" s="492"/>
      <c r="O2" s="492"/>
      <c r="P2" s="492"/>
      <c r="Q2" s="493"/>
    </row>
    <row r="3" spans="1:17" ht="12.75">
      <c r="A3" s="406"/>
      <c r="B3" s="398"/>
      <c r="C3" s="20"/>
      <c r="D3" s="398"/>
      <c r="E3" s="398"/>
      <c r="F3" s="398"/>
      <c r="G3" s="398"/>
      <c r="H3" s="398"/>
      <c r="I3" s="398"/>
      <c r="J3" s="398"/>
      <c r="K3" s="398"/>
      <c r="L3" s="470"/>
      <c r="M3" s="478"/>
      <c r="N3" s="88"/>
      <c r="O3" s="88"/>
      <c r="P3" s="88"/>
      <c r="Q3" s="479"/>
    </row>
    <row r="4" spans="1:17" ht="12.75">
      <c r="A4" s="406"/>
      <c r="B4" s="398"/>
      <c r="C4" s="428" t="s">
        <v>149</v>
      </c>
      <c r="D4" s="429"/>
      <c r="E4" s="429"/>
      <c r="F4" s="430"/>
      <c r="G4" s="314"/>
      <c r="H4" s="314"/>
      <c r="I4" s="314"/>
      <c r="J4" s="535"/>
      <c r="K4" s="401"/>
      <c r="L4" s="536"/>
      <c r="M4" s="478"/>
      <c r="N4" s="460" t="s">
        <v>150</v>
      </c>
      <c r="O4" s="434">
        <f>ESALS</f>
        <v>0.3</v>
      </c>
      <c r="P4" s="88" t="s">
        <v>151</v>
      </c>
      <c r="Q4" s="479"/>
    </row>
    <row r="5" spans="1:17" ht="20.25" customHeight="1">
      <c r="A5" s="406"/>
      <c r="B5" s="398"/>
      <c r="C5" s="440" t="s">
        <v>152</v>
      </c>
      <c r="D5" s="503"/>
      <c r="E5" s="441"/>
      <c r="F5" s="442"/>
      <c r="G5" s="407"/>
      <c r="H5" s="407"/>
      <c r="I5" s="407"/>
      <c r="J5" s="399"/>
      <c r="K5" s="399"/>
      <c r="L5" s="467"/>
      <c r="M5" s="480"/>
      <c r="N5" s="461" t="s">
        <v>153</v>
      </c>
      <c r="O5" s="462"/>
      <c r="P5" s="461"/>
      <c r="Q5" s="479"/>
    </row>
    <row r="6" spans="1:17" ht="12.75">
      <c r="A6" s="406"/>
      <c r="B6" s="398"/>
      <c r="C6" s="481" t="s">
        <v>154</v>
      </c>
      <c r="D6" s="482"/>
      <c r="E6" s="482"/>
      <c r="F6" s="483"/>
      <c r="G6" s="431" t="s">
        <v>155</v>
      </c>
      <c r="H6" s="432"/>
      <c r="I6" s="433"/>
      <c r="J6" s="435"/>
      <c r="K6" s="435"/>
      <c r="L6" s="468"/>
      <c r="M6" s="478"/>
      <c r="N6" s="460" t="s">
        <v>156</v>
      </c>
      <c r="O6" s="443">
        <f>VLOOKUP(ESALS,C8:F11,2)</f>
        <v>7</v>
      </c>
      <c r="P6" s="88"/>
      <c r="Q6" s="479"/>
    </row>
    <row r="7" spans="1:17" ht="14.25">
      <c r="A7" s="406"/>
      <c r="B7" s="484" t="s">
        <v>157</v>
      </c>
      <c r="C7" s="411" t="s">
        <v>158</v>
      </c>
      <c r="D7" s="411" t="s">
        <v>159</v>
      </c>
      <c r="E7" s="411" t="s">
        <v>160</v>
      </c>
      <c r="F7" s="411" t="s">
        <v>161</v>
      </c>
      <c r="G7" s="411" t="s">
        <v>159</v>
      </c>
      <c r="H7" s="411" t="s">
        <v>160</v>
      </c>
      <c r="I7" s="411" t="s">
        <v>161</v>
      </c>
      <c r="J7" s="400"/>
      <c r="K7" s="400"/>
      <c r="L7" s="469"/>
      <c r="M7" s="478"/>
      <c r="N7" s="460" t="s">
        <v>24</v>
      </c>
      <c r="O7" s="443">
        <f>VLOOKUP(ESALS,C8:F11,3)</f>
        <v>75</v>
      </c>
      <c r="P7" s="88"/>
      <c r="Q7" s="479"/>
    </row>
    <row r="8" spans="1:17" ht="12.75">
      <c r="A8" s="406"/>
      <c r="B8" s="398" t="s">
        <v>162</v>
      </c>
      <c r="C8" s="409">
        <v>0</v>
      </c>
      <c r="D8" s="410">
        <v>6</v>
      </c>
      <c r="E8" s="410">
        <v>50</v>
      </c>
      <c r="F8" s="410">
        <v>75</v>
      </c>
      <c r="G8" s="409">
        <v>91.5</v>
      </c>
      <c r="H8" s="409">
        <v>96</v>
      </c>
      <c r="I8" s="409">
        <v>98</v>
      </c>
      <c r="J8" s="398"/>
      <c r="K8" s="398"/>
      <c r="L8" s="470"/>
      <c r="M8" s="478"/>
      <c r="N8" s="460" t="s">
        <v>163</v>
      </c>
      <c r="O8" s="404">
        <f>IF(CompacMode=1,VLOOKUP(ESALS,C8:F11,3),VLOOKUP(ESALS,C8:F11,4))</f>
        <v>115</v>
      </c>
      <c r="P8" s="88"/>
      <c r="Q8" s="479"/>
    </row>
    <row r="9" spans="1:17" ht="12.75">
      <c r="A9" s="406"/>
      <c r="B9" s="398" t="s">
        <v>164</v>
      </c>
      <c r="C9" s="409">
        <v>0.3</v>
      </c>
      <c r="D9" s="410">
        <v>7</v>
      </c>
      <c r="E9" s="410">
        <v>75</v>
      </c>
      <c r="F9" s="410">
        <v>115</v>
      </c>
      <c r="G9" s="409">
        <v>90.5</v>
      </c>
      <c r="H9" s="409">
        <v>96</v>
      </c>
      <c r="I9" s="409">
        <v>98</v>
      </c>
      <c r="J9" s="398"/>
      <c r="K9" s="398"/>
      <c r="L9" s="470"/>
      <c r="M9" s="478"/>
      <c r="N9" s="88"/>
      <c r="O9" s="88"/>
      <c r="P9" s="88"/>
      <c r="Q9" s="479"/>
    </row>
    <row r="10" spans="1:17" ht="12.75">
      <c r="A10" s="406"/>
      <c r="B10" s="398" t="s">
        <v>165</v>
      </c>
      <c r="C10" s="409">
        <v>3</v>
      </c>
      <c r="D10" s="410">
        <v>8</v>
      </c>
      <c r="E10" s="410">
        <v>100</v>
      </c>
      <c r="F10" s="410">
        <v>160</v>
      </c>
      <c r="G10" s="409">
        <v>89</v>
      </c>
      <c r="H10" s="409">
        <v>96</v>
      </c>
      <c r="I10" s="409">
        <v>98</v>
      </c>
      <c r="J10" s="398"/>
      <c r="K10" s="398"/>
      <c r="L10" s="470"/>
      <c r="M10" s="478"/>
      <c r="N10" s="88"/>
      <c r="O10" s="88"/>
      <c r="P10" s="88"/>
      <c r="Q10" s="479"/>
    </row>
    <row r="11" spans="1:17" ht="12.75">
      <c r="A11" s="406"/>
      <c r="B11" s="398" t="s">
        <v>166</v>
      </c>
      <c r="C11" s="409">
        <v>30</v>
      </c>
      <c r="D11" s="410">
        <v>9</v>
      </c>
      <c r="E11" s="410">
        <v>125</v>
      </c>
      <c r="F11" s="410">
        <v>205</v>
      </c>
      <c r="G11" s="409">
        <v>89</v>
      </c>
      <c r="H11" s="409">
        <v>96</v>
      </c>
      <c r="I11" s="409">
        <v>98</v>
      </c>
      <c r="J11" s="398"/>
      <c r="K11" s="398"/>
      <c r="L11" s="470"/>
      <c r="M11" s="478"/>
      <c r="N11" s="463" t="s">
        <v>167</v>
      </c>
      <c r="O11" s="88"/>
      <c r="P11" s="88"/>
      <c r="Q11" s="479"/>
    </row>
    <row r="12" spans="1:17" ht="12.75">
      <c r="A12" s="406"/>
      <c r="B12" s="398"/>
      <c r="C12" s="401"/>
      <c r="D12" s="402"/>
      <c r="E12" s="402"/>
      <c r="F12" s="402"/>
      <c r="G12" s="401"/>
      <c r="H12" s="401"/>
      <c r="I12" s="401"/>
      <c r="J12" s="401"/>
      <c r="K12" s="401"/>
      <c r="L12" s="471"/>
      <c r="M12" s="478"/>
      <c r="N12" s="460" t="s">
        <v>156</v>
      </c>
      <c r="O12" s="443">
        <f>IF(EntryMode=1,CalcNINI,UserNINI)</f>
        <v>7</v>
      </c>
      <c r="P12" s="88"/>
      <c r="Q12" s="479"/>
    </row>
    <row r="13" spans="1:17" ht="12.75">
      <c r="A13" s="406"/>
      <c r="B13" s="408"/>
      <c r="C13" s="398"/>
      <c r="D13" s="398"/>
      <c r="E13" s="398"/>
      <c r="F13" s="398"/>
      <c r="G13" s="398"/>
      <c r="H13" s="398"/>
      <c r="I13" s="398"/>
      <c r="J13" s="398"/>
      <c r="K13" s="398"/>
      <c r="L13" s="470"/>
      <c r="M13" s="478"/>
      <c r="N13" s="460" t="s">
        <v>24</v>
      </c>
      <c r="O13" s="443">
        <f>IF(EntryMode=1,CalcNDES,UserNDES)</f>
        <v>75</v>
      </c>
      <c r="P13" s="88"/>
      <c r="Q13" s="479"/>
    </row>
    <row r="14" spans="1:17" ht="12.75">
      <c r="A14" s="406"/>
      <c r="B14" s="398"/>
      <c r="C14" s="401"/>
      <c r="D14" s="401"/>
      <c r="E14" s="401"/>
      <c r="F14" s="401"/>
      <c r="G14" s="401"/>
      <c r="H14" s="401"/>
      <c r="I14" s="401"/>
      <c r="J14" s="401"/>
      <c r="K14" s="401"/>
      <c r="L14" s="471"/>
      <c r="M14" s="478"/>
      <c r="N14" s="460" t="s">
        <v>163</v>
      </c>
      <c r="O14" s="404">
        <f>IF(CompacMode=1,IF(EntryMode=1,CalcNDES,UserNDES),IF(EntryMode=1,CalcNMAX,UserNMAX))</f>
        <v>115</v>
      </c>
      <c r="P14" s="88"/>
      <c r="Q14" s="479"/>
    </row>
    <row r="15" spans="1:17" ht="12.75">
      <c r="A15" s="406"/>
      <c r="B15" s="398"/>
      <c r="C15" s="398"/>
      <c r="D15" s="398"/>
      <c r="E15" s="398"/>
      <c r="F15" s="398"/>
      <c r="G15" s="398"/>
      <c r="H15" s="398"/>
      <c r="I15" s="398"/>
      <c r="J15" s="398"/>
      <c r="K15" s="398"/>
      <c r="L15" s="470"/>
      <c r="M15" s="478"/>
      <c r="N15" s="88"/>
      <c r="O15" s="88"/>
      <c r="P15" s="88"/>
      <c r="Q15" s="479"/>
    </row>
    <row r="16" spans="1:17" ht="12.75">
      <c r="A16" s="406"/>
      <c r="B16" s="398"/>
      <c r="C16" s="398"/>
      <c r="D16" s="437"/>
      <c r="E16" s="438"/>
      <c r="F16" s="438"/>
      <c r="G16" s="438"/>
      <c r="H16" s="438"/>
      <c r="I16" s="438"/>
      <c r="J16" s="438"/>
      <c r="K16" s="439"/>
      <c r="L16" s="470"/>
      <c r="M16" s="478"/>
      <c r="N16" s="88"/>
      <c r="O16" s="88"/>
      <c r="P16" s="88"/>
      <c r="Q16" s="479"/>
    </row>
    <row r="17" spans="1:17" ht="12.75">
      <c r="A17" s="406"/>
      <c r="B17" s="398"/>
      <c r="C17" s="398"/>
      <c r="D17" s="440" t="s">
        <v>168</v>
      </c>
      <c r="E17" s="441"/>
      <c r="F17" s="441"/>
      <c r="G17" s="441"/>
      <c r="H17" s="441"/>
      <c r="I17" s="441"/>
      <c r="J17" s="441"/>
      <c r="K17" s="442"/>
      <c r="L17" s="470"/>
      <c r="M17" s="478"/>
      <c r="N17" s="463" t="s">
        <v>169</v>
      </c>
      <c r="O17" s="88"/>
      <c r="P17" s="88"/>
      <c r="Q17" s="479"/>
    </row>
    <row r="18" spans="1:17" ht="12.75">
      <c r="A18" s="406"/>
      <c r="B18" s="398"/>
      <c r="C18" s="398"/>
      <c r="D18" s="412"/>
      <c r="E18" s="413"/>
      <c r="F18" s="413"/>
      <c r="G18" s="413"/>
      <c r="H18" s="413"/>
      <c r="I18" s="413"/>
      <c r="J18" s="413"/>
      <c r="K18" s="414"/>
      <c r="L18" s="470"/>
      <c r="M18" s="478"/>
      <c r="N18" s="460" t="s">
        <v>156</v>
      </c>
      <c r="O18" s="434">
        <f>VLOOKUP(ESALS,C8:I11,5)</f>
        <v>90.5</v>
      </c>
      <c r="P18" s="88"/>
      <c r="Q18" s="479"/>
    </row>
    <row r="19" spans="1:17" ht="12.75">
      <c r="A19" s="406"/>
      <c r="B19" s="398"/>
      <c r="C19" s="398"/>
      <c r="D19" s="431" t="s">
        <v>170</v>
      </c>
      <c r="E19" s="433"/>
      <c r="F19" s="431" t="s">
        <v>171</v>
      </c>
      <c r="G19" s="433"/>
      <c r="H19" s="431" t="s">
        <v>172</v>
      </c>
      <c r="I19" s="433"/>
      <c r="J19" s="431" t="s">
        <v>173</v>
      </c>
      <c r="K19" s="433"/>
      <c r="L19" s="470"/>
      <c r="M19" s="478"/>
      <c r="N19" s="460" t="s">
        <v>24</v>
      </c>
      <c r="O19" s="434">
        <f>VLOOKUP(ESALS,C8:I11,6)</f>
        <v>96</v>
      </c>
      <c r="P19" s="88"/>
      <c r="Q19" s="479"/>
    </row>
    <row r="20" spans="1:17" ht="14.25">
      <c r="A20" s="406"/>
      <c r="B20" s="484" t="s">
        <v>157</v>
      </c>
      <c r="C20" s="436" t="s">
        <v>158</v>
      </c>
      <c r="D20" s="436" t="s">
        <v>117</v>
      </c>
      <c r="E20" s="436" t="s">
        <v>118</v>
      </c>
      <c r="F20" s="436" t="s">
        <v>117</v>
      </c>
      <c r="G20" s="436" t="s">
        <v>118</v>
      </c>
      <c r="H20" s="436" t="s">
        <v>117</v>
      </c>
      <c r="I20" s="436" t="s">
        <v>118</v>
      </c>
      <c r="J20" s="436" t="s">
        <v>117</v>
      </c>
      <c r="K20" s="436" t="s">
        <v>118</v>
      </c>
      <c r="L20" s="470"/>
      <c r="M20" s="478"/>
      <c r="N20" s="460" t="s">
        <v>163</v>
      </c>
      <c r="O20" s="434">
        <f>VLOOKUP(ESALS,C8:I11,7)</f>
        <v>98</v>
      </c>
      <c r="P20" s="88"/>
      <c r="Q20" s="479"/>
    </row>
    <row r="21" spans="1:17" ht="12.75">
      <c r="A21" s="406"/>
      <c r="B21" s="398" t="s">
        <v>162</v>
      </c>
      <c r="C21" s="409">
        <v>0</v>
      </c>
      <c r="D21" s="410">
        <v>70</v>
      </c>
      <c r="E21" s="410">
        <v>80</v>
      </c>
      <c r="F21" s="410">
        <v>67</v>
      </c>
      <c r="G21" s="410">
        <v>80</v>
      </c>
      <c r="H21" s="410">
        <v>64</v>
      </c>
      <c r="I21" s="410">
        <v>80</v>
      </c>
      <c r="J21" s="410">
        <v>70</v>
      </c>
      <c r="K21" s="410">
        <v>80</v>
      </c>
      <c r="L21" s="470"/>
      <c r="M21" s="478"/>
      <c r="N21" s="460"/>
      <c r="O21" s="88"/>
      <c r="P21" s="88"/>
      <c r="Q21" s="479"/>
    </row>
    <row r="22" spans="1:17" ht="12.75">
      <c r="A22" s="406"/>
      <c r="B22" s="398" t="s">
        <v>164</v>
      </c>
      <c r="C22" s="409">
        <v>0.3</v>
      </c>
      <c r="D22" s="410">
        <v>65</v>
      </c>
      <c r="E22" s="410">
        <v>78</v>
      </c>
      <c r="F22" s="410">
        <v>65</v>
      </c>
      <c r="G22" s="410">
        <v>78</v>
      </c>
      <c r="H22" s="410">
        <v>64</v>
      </c>
      <c r="I22" s="410">
        <v>78</v>
      </c>
      <c r="J22" s="410">
        <v>65</v>
      </c>
      <c r="K22" s="410">
        <v>78</v>
      </c>
      <c r="L22" s="470"/>
      <c r="M22" s="478"/>
      <c r="N22" s="466" t="s">
        <v>174</v>
      </c>
      <c r="O22" s="443">
        <f>IF(Sieve=9.5,VLOOKUP(ESALS,C21:K24,2),(IF(Sieve=25,VLOOKUP(ESALS,C21:K24,4),(IF(Sieve=37.5,VLOOKUP(ESALS,C21:K24,6),VLOOKUP(ESALS,C21:K24,8))))))</f>
        <v>65</v>
      </c>
      <c r="P22" s="88"/>
      <c r="Q22" s="479"/>
    </row>
    <row r="23" spans="1:17" ht="12.75">
      <c r="A23" s="406"/>
      <c r="B23" s="398" t="s">
        <v>165</v>
      </c>
      <c r="C23" s="409">
        <v>3</v>
      </c>
      <c r="D23" s="410">
        <v>73</v>
      </c>
      <c r="E23" s="410">
        <v>76</v>
      </c>
      <c r="F23" s="410">
        <v>65</v>
      </c>
      <c r="G23" s="410">
        <v>75</v>
      </c>
      <c r="H23" s="410">
        <v>64</v>
      </c>
      <c r="I23" s="410">
        <v>75</v>
      </c>
      <c r="J23" s="410">
        <v>65</v>
      </c>
      <c r="K23" s="410">
        <v>75</v>
      </c>
      <c r="L23" s="470"/>
      <c r="M23" s="478"/>
      <c r="N23" s="466" t="s">
        <v>175</v>
      </c>
      <c r="O23" s="404">
        <f>IF(Sieve=9.5,VLOOKUP(ESALS,C21:K24,3),(IF(Sieve=25,VLOOKUP(ESALS,C21:K24,5),(IF(Sieve=37.5,VLOOKUP(ESALS,C21:K24,7),VLOOKUP(ESALS,C21:K24,9))))))</f>
        <v>78</v>
      </c>
      <c r="P23" s="88"/>
      <c r="Q23" s="479"/>
    </row>
    <row r="24" spans="1:17" ht="12.75">
      <c r="A24" s="406"/>
      <c r="B24" s="398" t="s">
        <v>166</v>
      </c>
      <c r="C24" s="409">
        <v>30</v>
      </c>
      <c r="D24" s="410">
        <v>73</v>
      </c>
      <c r="E24" s="410">
        <v>76</v>
      </c>
      <c r="F24" s="410">
        <v>65</v>
      </c>
      <c r="G24" s="410">
        <v>75</v>
      </c>
      <c r="H24" s="410">
        <v>64</v>
      </c>
      <c r="I24" s="410">
        <v>75</v>
      </c>
      <c r="J24" s="410">
        <v>65</v>
      </c>
      <c r="K24" s="410">
        <v>75</v>
      </c>
      <c r="L24" s="470"/>
      <c r="M24" s="478"/>
      <c r="N24" s="88"/>
      <c r="O24" s="88"/>
      <c r="P24" s="88"/>
      <c r="Q24" s="479"/>
    </row>
    <row r="25" spans="1:17" ht="12.75">
      <c r="A25" s="406"/>
      <c r="B25" s="398"/>
      <c r="C25" s="398"/>
      <c r="D25" s="398"/>
      <c r="E25" s="407"/>
      <c r="F25" s="398"/>
      <c r="G25" s="398"/>
      <c r="H25" s="398"/>
      <c r="I25" s="398"/>
      <c r="J25" s="398"/>
      <c r="K25" s="398"/>
      <c r="L25" s="470"/>
      <c r="M25" s="478"/>
      <c r="N25" s="466" t="s">
        <v>176</v>
      </c>
      <c r="O25" s="434">
        <f>VLOOKUP(Sieve,C31:D36,2,FALSE)</f>
        <v>13</v>
      </c>
      <c r="P25" s="88"/>
      <c r="Q25" s="479"/>
    </row>
    <row r="26" spans="1:17" ht="12.75">
      <c r="A26" s="406"/>
      <c r="B26" s="398"/>
      <c r="C26" s="398"/>
      <c r="D26" s="398"/>
      <c r="E26" s="398"/>
      <c r="F26" s="398"/>
      <c r="G26" s="398"/>
      <c r="H26" s="398"/>
      <c r="I26" s="398"/>
      <c r="J26" s="398"/>
      <c r="K26" s="398"/>
      <c r="L26" s="470"/>
      <c r="M26" s="478"/>
      <c r="N26" s="88"/>
      <c r="O26" s="88"/>
      <c r="P26" s="88"/>
      <c r="Q26" s="479"/>
    </row>
    <row r="27" spans="1:17" ht="12.75">
      <c r="A27" s="406"/>
      <c r="B27" s="398"/>
      <c r="C27" s="398"/>
      <c r="D27" s="398"/>
      <c r="E27" s="398"/>
      <c r="F27" s="398"/>
      <c r="G27" s="398"/>
      <c r="H27" s="398"/>
      <c r="I27" s="398"/>
      <c r="J27" s="398"/>
      <c r="K27" s="398"/>
      <c r="L27" s="470"/>
      <c r="M27" s="478"/>
      <c r="N27" s="466" t="s">
        <v>177</v>
      </c>
      <c r="O27" s="434">
        <f>G31</f>
        <v>0.6</v>
      </c>
      <c r="P27" s="88"/>
      <c r="Q27" s="479"/>
    </row>
    <row r="28" spans="1:17" ht="12.75">
      <c r="A28" s="406"/>
      <c r="B28" s="398"/>
      <c r="C28" s="398"/>
      <c r="D28" s="398"/>
      <c r="E28" s="398"/>
      <c r="F28" s="20"/>
      <c r="G28" s="20"/>
      <c r="H28" s="20"/>
      <c r="I28" s="20"/>
      <c r="J28" s="20"/>
      <c r="K28" s="20"/>
      <c r="L28" s="472"/>
      <c r="M28" s="478"/>
      <c r="N28" s="466" t="s">
        <v>178</v>
      </c>
      <c r="O28" s="434">
        <f>G32</f>
        <v>1.2</v>
      </c>
      <c r="P28" s="88"/>
      <c r="Q28" s="479"/>
    </row>
    <row r="29" spans="1:17" ht="18" customHeight="1">
      <c r="A29" s="406"/>
      <c r="B29" s="398"/>
      <c r="C29" s="431" t="s">
        <v>179</v>
      </c>
      <c r="D29" s="433"/>
      <c r="E29" s="398"/>
      <c r="F29" s="398"/>
      <c r="G29" s="398"/>
      <c r="H29" s="398"/>
      <c r="I29" s="398"/>
      <c r="J29" s="398"/>
      <c r="K29" s="398"/>
      <c r="L29" s="470"/>
      <c r="M29" s="478"/>
      <c r="N29" s="88"/>
      <c r="O29" s="88"/>
      <c r="P29" s="88"/>
      <c r="Q29" s="479"/>
    </row>
    <row r="30" spans="1:17" ht="28.5" customHeight="1">
      <c r="A30" s="406"/>
      <c r="B30" s="398"/>
      <c r="C30" s="444" t="s">
        <v>180</v>
      </c>
      <c r="D30" s="444" t="s">
        <v>181</v>
      </c>
      <c r="E30" s="398"/>
      <c r="F30" s="464" t="s">
        <v>182</v>
      </c>
      <c r="G30" s="465"/>
      <c r="H30" s="398"/>
      <c r="I30" s="398"/>
      <c r="J30" s="398"/>
      <c r="K30" s="398"/>
      <c r="L30" s="470"/>
      <c r="M30" s="478"/>
      <c r="N30" s="88"/>
      <c r="O30" s="88"/>
      <c r="P30" s="88"/>
      <c r="Q30" s="479"/>
    </row>
    <row r="31" spans="1:17" ht="12.75">
      <c r="A31" s="406"/>
      <c r="B31" s="398"/>
      <c r="C31" s="445">
        <v>9.5</v>
      </c>
      <c r="D31" s="409">
        <v>15</v>
      </c>
      <c r="E31" s="398"/>
      <c r="F31" s="449" t="s">
        <v>183</v>
      </c>
      <c r="G31" s="409">
        <v>0.6</v>
      </c>
      <c r="H31" s="398"/>
      <c r="I31" s="398"/>
      <c r="J31" s="398"/>
      <c r="K31" s="398"/>
      <c r="L31" s="470"/>
      <c r="M31" s="478"/>
      <c r="N31" s="466" t="s">
        <v>184</v>
      </c>
      <c r="O31" s="434">
        <f>G36</f>
        <v>4</v>
      </c>
      <c r="P31" s="88"/>
      <c r="Q31" s="479"/>
    </row>
    <row r="32" spans="1:17" ht="12.75">
      <c r="A32" s="406"/>
      <c r="B32" s="398"/>
      <c r="C32" s="445">
        <v>12.5</v>
      </c>
      <c r="D32" s="409">
        <v>14</v>
      </c>
      <c r="E32" s="398"/>
      <c r="F32" s="449" t="s">
        <v>185</v>
      </c>
      <c r="G32" s="409">
        <v>1.2</v>
      </c>
      <c r="H32" s="398"/>
      <c r="I32" s="398"/>
      <c r="J32" s="398"/>
      <c r="K32" s="398"/>
      <c r="L32" s="470"/>
      <c r="M32" s="478"/>
      <c r="N32" s="88"/>
      <c r="O32" s="88"/>
      <c r="P32" s="88"/>
      <c r="Q32" s="479"/>
    </row>
    <row r="33" spans="1:17" ht="12.75">
      <c r="A33" s="406"/>
      <c r="B33" s="398"/>
      <c r="C33" s="445">
        <v>19</v>
      </c>
      <c r="D33" s="409">
        <v>13</v>
      </c>
      <c r="E33" s="398"/>
      <c r="F33" s="398"/>
      <c r="G33" s="398"/>
      <c r="H33" s="398"/>
      <c r="I33" s="398"/>
      <c r="J33" s="398"/>
      <c r="K33" s="398"/>
      <c r="L33" s="470"/>
      <c r="M33" s="478"/>
      <c r="N33" s="88"/>
      <c r="O33" s="88"/>
      <c r="P33" s="88"/>
      <c r="Q33" s="479"/>
    </row>
    <row r="34" spans="1:17" ht="12.75">
      <c r="A34" s="406"/>
      <c r="B34" s="398"/>
      <c r="C34" s="445">
        <v>25</v>
      </c>
      <c r="D34" s="409">
        <v>12</v>
      </c>
      <c r="E34" s="398"/>
      <c r="F34" s="398"/>
      <c r="G34" s="398"/>
      <c r="H34" s="398"/>
      <c r="I34" s="398"/>
      <c r="J34" s="398"/>
      <c r="K34" s="398"/>
      <c r="L34" s="470"/>
      <c r="M34" s="478"/>
      <c r="N34" s="88"/>
      <c r="O34" s="88"/>
      <c r="P34" s="88"/>
      <c r="Q34" s="479"/>
    </row>
    <row r="35" spans="1:17" ht="12.75">
      <c r="A35" s="406"/>
      <c r="B35" s="398"/>
      <c r="C35" s="445">
        <v>37.5</v>
      </c>
      <c r="D35" s="409">
        <v>11</v>
      </c>
      <c r="E35" s="398"/>
      <c r="F35" s="431" t="s">
        <v>186</v>
      </c>
      <c r="G35" s="433"/>
      <c r="H35" s="398"/>
      <c r="I35" s="398"/>
      <c r="J35" s="398"/>
      <c r="K35" s="398"/>
      <c r="L35" s="470"/>
      <c r="M35" s="478"/>
      <c r="N35" s="88"/>
      <c r="O35" s="88"/>
      <c r="P35" s="88"/>
      <c r="Q35" s="479"/>
    </row>
    <row r="36" spans="1:17" ht="12.75">
      <c r="A36" s="406"/>
      <c r="B36" s="398"/>
      <c r="C36" s="445">
        <v>50</v>
      </c>
      <c r="D36" s="409">
        <v>10.5</v>
      </c>
      <c r="E36" s="398"/>
      <c r="F36" s="459" t="s">
        <v>183</v>
      </c>
      <c r="G36" s="409">
        <v>4</v>
      </c>
      <c r="H36" s="398"/>
      <c r="I36" s="398"/>
      <c r="J36" s="398"/>
      <c r="K36" s="398"/>
      <c r="L36" s="470"/>
      <c r="M36" s="478"/>
      <c r="N36" s="88"/>
      <c r="P36" s="88"/>
      <c r="Q36" s="479"/>
    </row>
    <row r="37" spans="1:17" ht="12.75">
      <c r="A37" s="406"/>
      <c r="B37" s="398"/>
      <c r="C37" s="398"/>
      <c r="D37" s="398"/>
      <c r="E37" s="398"/>
      <c r="F37" s="398"/>
      <c r="G37" s="398"/>
      <c r="H37" s="398"/>
      <c r="I37" s="398"/>
      <c r="J37" s="398"/>
      <c r="K37" s="398"/>
      <c r="L37" s="470"/>
      <c r="M37" s="478"/>
      <c r="N37" s="88"/>
      <c r="P37" s="88"/>
      <c r="Q37" s="479"/>
    </row>
    <row r="38" spans="1:17" ht="13.5" thickBot="1">
      <c r="A38" s="473"/>
      <c r="B38" s="474"/>
      <c r="C38" s="474"/>
      <c r="D38" s="474"/>
      <c r="E38" s="474"/>
      <c r="F38" s="474"/>
      <c r="G38" s="474"/>
      <c r="H38" s="474"/>
      <c r="I38" s="474"/>
      <c r="J38" s="474"/>
      <c r="K38" s="474"/>
      <c r="L38" s="475"/>
      <c r="M38" s="476"/>
      <c r="N38" s="355"/>
      <c r="O38" s="355"/>
      <c r="P38" s="355"/>
      <c r="Q38" s="477"/>
    </row>
  </sheetData>
  <sheetProtection sheet="1" objects="1" scenarios="1"/>
  <printOptions horizontalCentered="1"/>
  <pageMargins left="0.75" right="0.75" top="1" bottom="1" header="0.5" footer="0.5"/>
  <pageSetup horizontalDpi="240" verticalDpi="240" orientation="landscape" r:id="rId4"/>
  <headerFooter alignWithMargins="0">
    <oddHeader>&amp;C&amp;A</oddHeader>
    <oddFooter>&amp;CPage &amp;P</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15"/>
  <dimension ref="A4:O57"/>
  <sheetViews>
    <sheetView zoomScale="75" zoomScaleNormal="75" workbookViewId="0" topLeftCell="A2">
      <selection activeCell="D9" sqref="D9"/>
    </sheetView>
  </sheetViews>
  <sheetFormatPr defaultColWidth="9.140625" defaultRowHeight="12.75"/>
  <cols>
    <col min="1" max="1" width="27.421875" style="0" customWidth="1"/>
    <col min="2" max="13" width="10.8515625" style="0" customWidth="1"/>
    <col min="14" max="14" width="7.57421875" style="0" customWidth="1"/>
    <col min="15" max="15" width="3.8515625" style="0" customWidth="1"/>
  </cols>
  <sheetData>
    <row r="1" s="1" customFormat="1" ht="12.75"/>
    <row r="2" s="1" customFormat="1" ht="12.75"/>
    <row r="3" s="1" customFormat="1" ht="12.75"/>
    <row r="4" spans="1:13" s="3" customFormat="1" ht="12.75">
      <c r="A4" s="1"/>
      <c r="B4" s="78" t="str">
        <f>IF(BlendID1="","Blend 1",BlendID1)</f>
        <v>Blend 1</v>
      </c>
      <c r="C4" s="79"/>
      <c r="D4" s="80"/>
      <c r="E4" s="78" t="str">
        <f>IF(BlendID2="","Blend 2",BlendID2)</f>
        <v>Blend 2</v>
      </c>
      <c r="F4" s="79"/>
      <c r="G4" s="80"/>
      <c r="H4" s="78" t="str">
        <f>IF(BlendID3="","Blend 3",BlendID3)</f>
        <v>Blend 3</v>
      </c>
      <c r="I4" s="79"/>
      <c r="J4" s="80"/>
      <c r="K4" s="78" t="str">
        <f>IF(BlendID4="","Blend 4",BlendID4)</f>
        <v>Blend 4</v>
      </c>
      <c r="L4" s="79"/>
      <c r="M4" s="80"/>
    </row>
    <row r="5" spans="1:13" s="3" customFormat="1" ht="12.75">
      <c r="A5" s="4"/>
      <c r="B5" s="10" t="s">
        <v>1</v>
      </c>
      <c r="C5" s="10" t="s">
        <v>2</v>
      </c>
      <c r="D5" s="10" t="s">
        <v>3</v>
      </c>
      <c r="E5" s="10" t="s">
        <v>1</v>
      </c>
      <c r="F5" s="10" t="s">
        <v>2</v>
      </c>
      <c r="G5" s="10" t="s">
        <v>3</v>
      </c>
      <c r="H5" s="10" t="s">
        <v>1</v>
      </c>
      <c r="I5" s="10" t="s">
        <v>2</v>
      </c>
      <c r="J5" s="10" t="s">
        <v>3</v>
      </c>
      <c r="K5" s="10" t="s">
        <v>1</v>
      </c>
      <c r="L5" s="10" t="s">
        <v>2</v>
      </c>
      <c r="M5" s="10" t="s">
        <v>3</v>
      </c>
    </row>
    <row r="6" spans="1:13" s="2" customFormat="1" ht="12.75">
      <c r="A6" s="5" t="s">
        <v>187</v>
      </c>
      <c r="B6" s="54">
        <f>(IF(GmbMeas11="","",CalcCx(GmbMeas11,AvgGmm1,1,1,NINI,NMAX)+N("Calculate Corrected Density at x Gyrations")))</f>
      </c>
      <c r="C6" s="54">
        <f>(IF(GmbMeas12="","",CalcCx(GmbMeas12,AvgGmm1,1,2,NINI,NMAX)+N("Calculate Corrected Density at x Gyrations")))</f>
      </c>
      <c r="D6" s="54">
        <f>(IF(GmbMeas13="","",CalcCx(GmbMeas13,AvgGmm1,1,3,NINI,NMAX)+N("Calculate Corrected Density at x Gyrations")))</f>
      </c>
      <c r="E6" s="54">
        <f>(IF(GmbMeas21="","",CalcCx(GmbMeas21,AvgGmm2,2,1,NINI,NMAX)+N("Calculate Corrected Density at x Gyrations")))</f>
      </c>
      <c r="F6" s="54">
        <f>(IF(GmbMeas22="","",CalcCx(GmbMeas22,AvgGmm2,2,2,NINI,NMAX)+N("Calculate Corrected Density at x Gyrations")))</f>
      </c>
      <c r="G6" s="54">
        <f>(IF(GmbMeas23="","",CalcCx(GmbMeas23,AvgGmm2,2,3,NINI,NMAX)+N("Calculate Corrected Density at x Gyrations")))</f>
      </c>
      <c r="H6" s="54">
        <f>(IF(GmbMeas31="","",CalcCx(GmbMeas31,AvgGmm3,3,1,NINI,NMAX)+N("Calculate Corrected Density at x Gyrations")))</f>
      </c>
      <c r="I6" s="54">
        <f>(IF(GmbMeas32="","",CalcCx(GmbMeas32,AvgGmm3,3,2,NINI,NMAX)+N("Calculate Corrected Density at x Gyrations")))</f>
      </c>
      <c r="J6" s="54">
        <f>(IF(GmbMeas33="","",CalcCx(GmbMeas33,AvgGmm3,3,3,NINI,NMAX)+N("Calculate Corrected Density at x Gyrations")))</f>
      </c>
      <c r="K6" s="54">
        <f>(IF(GmbMeas41="","",CalcCx(GmbMeas41,AvgGmm4,4,1,NINI,NMAX)+N("Calculate Corrected Density at x Gyrations")))</f>
      </c>
      <c r="L6" s="54">
        <f>(IF(GmbMeas42="","",CalcCx(GmbMeas42,AvgGmm4,4,2,NINI,NMAX)+N("Calculate Corrected Density at x Gyrations")))</f>
      </c>
      <c r="M6" s="54">
        <f>(IF(GmbMeas43="","",CalcCx(GmbMeas43,AvgGmm4,4,3,NINI,NMAX)+N("Calculate Corrected Density at x Gyrations")))</f>
      </c>
    </row>
    <row r="7" spans="1:13" s="2" customFormat="1" ht="12.75">
      <c r="A7" s="4" t="s">
        <v>188</v>
      </c>
      <c r="C7" s="54" t="e">
        <f>AVERAGE(B6:D6)</f>
        <v>#DIV/0!</v>
      </c>
      <c r="D7" s="14"/>
      <c r="E7" s="14"/>
      <c r="F7" s="54" t="e">
        <f>AVERAGE(E6:G6)</f>
        <v>#DIV/0!</v>
      </c>
      <c r="G7" s="14"/>
      <c r="H7" s="14"/>
      <c r="I7" s="54" t="e">
        <f>AVERAGE(H6:J6)</f>
        <v>#DIV/0!</v>
      </c>
      <c r="J7" s="14"/>
      <c r="K7" s="14"/>
      <c r="L7" s="54" t="e">
        <f>AVERAGE(K6:M6)</f>
        <v>#DIV/0!</v>
      </c>
      <c r="M7" s="14"/>
    </row>
    <row r="8" spans="1:13" s="2" customFormat="1" ht="12.75">
      <c r="A8" s="4"/>
      <c r="C8" s="14"/>
      <c r="D8" s="14"/>
      <c r="E8" s="14"/>
      <c r="F8" s="14"/>
      <c r="G8" s="14"/>
      <c r="H8" s="14"/>
      <c r="I8" s="14"/>
      <c r="J8" s="14"/>
      <c r="K8" s="14"/>
      <c r="L8" s="14"/>
      <c r="M8" s="14"/>
    </row>
    <row r="9" spans="1:13" s="2" customFormat="1" ht="12.75">
      <c r="A9" s="5" t="s">
        <v>189</v>
      </c>
      <c r="B9" s="54">
        <f>(IF(GmbMeas11="","",CalcCx(GmbMeas11,AvgGmm1,1,1,NDES,NMAX)+N("Calculate Corrected Density at x Gyrations")))</f>
      </c>
      <c r="C9" s="54">
        <f>(IF(GmbMeas12="","",CalcCx(GmbMeas12,AvgGmm1,1,2,NDES,NMAX)+N("Calculate Corrected Density at x Gyrations")))</f>
      </c>
      <c r="D9" s="54">
        <f>(IF(GmbMeas13="","",CalcCx(GmbMeas13,AvgGmm1,1,3,NDES,NMAX)+N("Calculate Corrected Density at x Gyrations")))</f>
      </c>
      <c r="E9" s="54">
        <f>(IF(GmbMeas21="","",CalcCx(GmbMeas21,AvgGmm2,2,1,NDES,NMAX)+N("Calculate Corrected Density at x Gyrations")))</f>
      </c>
      <c r="F9" s="54">
        <f>(IF(GmbMeas22="","",CalcCx(GmbMeas22,AvgGmm2,2,2,NDES,NMAX)+N("Calculate Corrected Density at x Gyrations")))</f>
      </c>
      <c r="G9" s="54">
        <f>(IF(GmbMeas23="","",CalcCx(GmbMeas23,AvgGmm2,2,3,NDES,NMAX)+N("Calculate Corrected Density at x Gyrations")))</f>
      </c>
      <c r="H9" s="54">
        <f>(IF(GmbMeas31="","",CalcCx(GmbMeas31,AvgGmm3,3,1,NDES,NMAX)+N("Calculate Corrected Density at x Gyrations")))</f>
      </c>
      <c r="I9" s="54">
        <f>(IF(GmbMeas32="","",CalcCx(GmbMeas32,AvgGmm3,3,2,NDES,NMAX)+N("Calculate Corrected Density at x Gyrations")))</f>
      </c>
      <c r="J9" s="54">
        <f>(IF(GmbMeas33="","",CalcCx(GmbMeas33,AvgGmm3,3,3,NDES,NMAX)+N("Calculate Corrected Density at x Gyrations")))</f>
      </c>
      <c r="K9" s="54">
        <f>(IF(GmbMeas41="","",CalcCx(GmbMeas41,AvgGmm4,4,1,NDES,NMAX)+N("Calculate Corrected Density at x Gyrations")))</f>
      </c>
      <c r="L9" s="54">
        <f>(IF(GmbMeas42="","",CalcCx(GmbMeas42,AvgGmm4,4,2,NDES,NMAX)+N("Calculate Corrected Density at x Gyrations")))</f>
      </c>
      <c r="M9" s="54">
        <f>(IF(GmbMeas43="","",CalcCx(GmbMeas43,AvgGmm4,4,3,NDES,NMAX)+N("Calculate Corrected Density at x Gyrations")))</f>
      </c>
    </row>
    <row r="10" spans="1:13" s="2" customFormat="1" ht="12.75">
      <c r="A10" s="4" t="s">
        <v>188</v>
      </c>
      <c r="B10" s="1"/>
      <c r="C10" s="54" t="e">
        <f>AVERAGE(B9:D9)</f>
        <v>#DIV/0!</v>
      </c>
      <c r="D10" s="14"/>
      <c r="E10" s="14"/>
      <c r="F10" s="54" t="e">
        <f>AVERAGE(E9:G9)</f>
        <v>#DIV/0!</v>
      </c>
      <c r="G10" s="14"/>
      <c r="H10" s="14"/>
      <c r="I10" s="54" t="e">
        <f>AVERAGE(H9:J9)</f>
        <v>#DIV/0!</v>
      </c>
      <c r="J10" s="14"/>
      <c r="K10" s="14"/>
      <c r="L10" s="54" t="e">
        <f>AVERAGE(K9:M9)</f>
        <v>#DIV/0!</v>
      </c>
      <c r="M10" s="14"/>
    </row>
    <row r="11" spans="1:13" s="2" customFormat="1" ht="12.75">
      <c r="A11" s="4"/>
      <c r="B11" s="14"/>
      <c r="C11" s="14"/>
      <c r="D11" s="14"/>
      <c r="E11" s="14"/>
      <c r="F11" s="14"/>
      <c r="G11" s="14"/>
      <c r="H11" s="14"/>
      <c r="I11" s="14"/>
      <c r="J11" s="14"/>
      <c r="K11" s="14"/>
      <c r="L11" s="14"/>
      <c r="M11" s="14"/>
    </row>
    <row r="12" spans="1:13" s="2" customFormat="1" ht="12.75">
      <c r="A12" s="5" t="s">
        <v>190</v>
      </c>
      <c r="B12" s="54">
        <f>(IF(GmbMeas11="","",CalcCx(GmbMeas11,AvgGmm1,1,1,NMAX,NMAX)+N("Calculate Corrected Density at x Gyrations")))</f>
      </c>
      <c r="C12" s="54">
        <f>(IF(GmbMeas12="","",CalcCx(GmbMeas12,AvgGmm1,1,2,NMAX,NMAX)+N("Calculate Corrected Density at x Gyrations")))</f>
      </c>
      <c r="D12" s="54">
        <f>(IF(GmbMeas13="","",CalcCx(GmbMeas13,AvgGmm1,1,3,NMAX,NMAX)+N("Calculate Corrected Density at x Gyrations")))</f>
      </c>
      <c r="E12" s="54">
        <f>(IF(GmbMeas21="","",CalcCx(GmbMeas21,AvgGmm2,2,1,NMAX,NMAX)+N("Calculate Corrected Density at x Gyrations")))</f>
      </c>
      <c r="F12" s="54">
        <f>(IF(GmbMeas22="","",CalcCx(GmbMeas22,AvgGmm2,2,2,NMAX,NMAX)+N("Calculate Corrected Density at x Gyrations")))</f>
      </c>
      <c r="G12" s="54">
        <f>(IF(GmbMeas23="","",CalcCx(GmbMeas23,AvgGmm2,2,3,NMAX,NMAX)+N("Calculate Corrected Density at x Gyrations")))</f>
      </c>
      <c r="H12" s="54">
        <f>(IF(GmbMeas31="","",CalcCx(GmbMeas31,AvgGmm3,3,1,NMAX,NMAX)+N("Calculate Corrected Density at x Gyrations")))</f>
      </c>
      <c r="I12" s="54">
        <f>(IF(GmbMeas32="","",CalcCx(GmbMeas32,AvgGmm3,3,2,NMAX,NMAX)+N("Calculate Corrected Density at x Gyrations")))</f>
      </c>
      <c r="J12" s="54">
        <f>(IF(GmbMeas33="","",CalcCx(GmbMeas33,AvgGmm3,3,3,NMAX,NMAX)+N("Calculate Corrected Density at x Gyrations")))</f>
      </c>
      <c r="K12" s="54">
        <f>(IF(GmbMeas41="","",CalcCx(GmbMeas41,AvgGmm4,4,1,NMAX,NMAX)+N("Calculate Corrected Density at x Gyrations")))</f>
      </c>
      <c r="L12" s="54">
        <f>(IF(GmbMeas42="","",CalcCx(GmbMeas42,AvgGmm4,4,2,NMAX,NMAX)+N("Calculate Corrected Density at x Gyrations")))</f>
      </c>
      <c r="M12" s="54">
        <f>(IF(GmbMeas43="","",CalcCx(GmbMeas43,AvgGmm4,4,3,NMAX,NMAX)+N("Calculate Corrected Density at x Gyrations")))</f>
      </c>
    </row>
    <row r="13" spans="1:13" s="2" customFormat="1" ht="12.75">
      <c r="A13" s="4" t="s">
        <v>188</v>
      </c>
      <c r="B13" s="5"/>
      <c r="C13" s="54" t="e">
        <f>AVERAGE(B12:D12)</f>
        <v>#DIV/0!</v>
      </c>
      <c r="D13" s="6"/>
      <c r="E13" s="7"/>
      <c r="F13" s="54" t="e">
        <f>AVERAGE(E12:G12)</f>
        <v>#DIV/0!</v>
      </c>
      <c r="G13" s="7"/>
      <c r="H13" s="7"/>
      <c r="I13" s="54" t="e">
        <f>AVERAGE(H12:J12)</f>
        <v>#DIV/0!</v>
      </c>
      <c r="J13" s="7"/>
      <c r="K13" s="7"/>
      <c r="L13" s="54" t="e">
        <f>AVERAGE(K12:M12)</f>
        <v>#DIV/0!</v>
      </c>
      <c r="M13" s="7"/>
    </row>
    <row r="14" spans="4:13" s="2" customFormat="1" ht="12.75">
      <c r="D14" s="6"/>
      <c r="G14" s="7"/>
      <c r="H14" s="7"/>
      <c r="I14" s="14"/>
      <c r="J14" s="7"/>
      <c r="K14" s="7"/>
      <c r="L14" s="14"/>
      <c r="M14" s="7"/>
    </row>
    <row r="15" spans="1:12" s="2" customFormat="1" ht="12.75">
      <c r="A15" s="4" t="s">
        <v>191</v>
      </c>
      <c r="B15" s="1"/>
      <c r="C15" s="54" t="e">
        <f>100-(AvgGmmDes1*AvgGmm1*(Ps1/100)/Gsb1)</f>
        <v>#DIV/0!</v>
      </c>
      <c r="F15" s="54" t="e">
        <f>100-(AvgGmmDes2*AvgGmm2*(Ps2/100)/Gsb2)</f>
        <v>#DIV/0!</v>
      </c>
      <c r="I15" s="54" t="e">
        <f>100-(AvgGmmDes3*AvgGmm3*(Ps3/100)/Gsb3)</f>
        <v>#DIV/0!</v>
      </c>
      <c r="L15" s="54" t="e">
        <f>100-(AvgGmmDes4*AvgGmm4*(Ps4/100)/Gsb4)</f>
        <v>#DIV/0!</v>
      </c>
    </row>
    <row r="16" spans="1:13" s="2" customFormat="1" ht="12.75">
      <c r="A16" s="4" t="s">
        <v>192</v>
      </c>
      <c r="B16" s="5"/>
      <c r="C16" s="54" t="e">
        <f>100-AvgGmmDes1</f>
        <v>#DIV/0!</v>
      </c>
      <c r="D16" s="6"/>
      <c r="E16" s="7"/>
      <c r="F16" s="54" t="e">
        <f>100-AvgGmmDes2</f>
        <v>#DIV/0!</v>
      </c>
      <c r="G16" s="7"/>
      <c r="H16" s="7"/>
      <c r="I16" s="54" t="e">
        <f>100-AvgGmmDes3</f>
        <v>#DIV/0!</v>
      </c>
      <c r="J16" s="7"/>
      <c r="K16" s="7"/>
      <c r="L16" s="54" t="e">
        <f>100-AvgGmmDes4</f>
        <v>#DIV/0!</v>
      </c>
      <c r="M16" s="7"/>
    </row>
    <row r="17" spans="1:13" s="2" customFormat="1" ht="12.75">
      <c r="A17" s="4" t="s">
        <v>193</v>
      </c>
      <c r="B17" s="5"/>
      <c r="C17" s="54" t="e">
        <f>IF(C16&lt;4,0.1,0.2)</f>
        <v>#DIV/0!</v>
      </c>
      <c r="D17" s="6"/>
      <c r="E17" s="7"/>
      <c r="F17" s="54" t="e">
        <f>IF(F16&lt;4,0.1,0.2)</f>
        <v>#DIV/0!</v>
      </c>
      <c r="G17" s="7"/>
      <c r="H17" s="7"/>
      <c r="I17" s="54" t="e">
        <f>IF(I16&lt;4,0.1,0.2)</f>
        <v>#DIV/0!</v>
      </c>
      <c r="J17" s="7"/>
      <c r="K17" s="7"/>
      <c r="L17" s="54" t="e">
        <f>IF(L16&lt;4,0.1,0.2)</f>
        <v>#DIV/0!</v>
      </c>
      <c r="M17" s="7"/>
    </row>
    <row r="18" spans="1:13" s="2" customFormat="1" ht="12.75">
      <c r="A18" s="4" t="s">
        <v>194</v>
      </c>
      <c r="B18" s="5"/>
      <c r="C18" s="54" t="e">
        <f>C15+(C17*(4-C16))+N("VMA + (Constant * (4 - Air Voids))")</f>
        <v>#DIV/0!</v>
      </c>
      <c r="D18" s="6"/>
      <c r="E18" s="7"/>
      <c r="F18" s="54" t="e">
        <f>F15+(F17*(4-F16))</f>
        <v>#DIV/0!</v>
      </c>
      <c r="G18" s="7"/>
      <c r="H18" s="7"/>
      <c r="I18" s="54" t="e">
        <f>I15+(I17*(4-I16))</f>
        <v>#DIV/0!</v>
      </c>
      <c r="J18" s="7"/>
      <c r="K18" s="7"/>
      <c r="L18" s="54" t="e">
        <f>L15+(L17*(4-L16))</f>
        <v>#DIV/0!</v>
      </c>
      <c r="M18" s="7"/>
    </row>
    <row r="19" spans="1:13" s="2" customFormat="1" ht="12.75">
      <c r="A19" s="4" t="s">
        <v>195</v>
      </c>
      <c r="B19" s="5"/>
      <c r="C19" s="54" t="e">
        <f>100*((C18-4)/C18)+N("100 * (VMAe - 4) / VMAe")</f>
        <v>#DIV/0!</v>
      </c>
      <c r="D19" s="6"/>
      <c r="E19" s="7"/>
      <c r="F19" s="54" t="e">
        <f>100*((F18-4)/F18)</f>
        <v>#DIV/0!</v>
      </c>
      <c r="G19" s="7"/>
      <c r="H19" s="7"/>
      <c r="I19" s="54" t="e">
        <f>100*((I18-4)/I18)</f>
        <v>#DIV/0!</v>
      </c>
      <c r="J19" s="7"/>
      <c r="K19" s="7"/>
      <c r="L19" s="54" t="e">
        <f>100*((L18-4)/L18)</f>
        <v>#DIV/0!</v>
      </c>
      <c r="M19" s="7"/>
    </row>
    <row r="20" spans="1:13" s="2" customFormat="1" ht="12.75">
      <c r="A20" s="4" t="s">
        <v>196</v>
      </c>
      <c r="B20" s="5"/>
      <c r="C20" s="54" t="e">
        <f>AvgGmmIni1-(4-C16)</f>
        <v>#DIV/0!</v>
      </c>
      <c r="D20" s="6"/>
      <c r="E20" s="7"/>
      <c r="F20" s="54" t="e">
        <f>AvgGmmIni2-(4-F16)</f>
        <v>#DIV/0!</v>
      </c>
      <c r="G20" s="7"/>
      <c r="H20" s="7"/>
      <c r="I20" s="54" t="e">
        <f>AvgGmmIni3-(4-I16)</f>
        <v>#DIV/0!</v>
      </c>
      <c r="J20" s="7"/>
      <c r="K20" s="7"/>
      <c r="L20" s="54" t="e">
        <f>AvgGmmIni4-(4-L16)</f>
        <v>#DIV/0!</v>
      </c>
      <c r="M20" s="7"/>
    </row>
    <row r="21" spans="1:13" s="2" customFormat="1" ht="12.75">
      <c r="A21" s="4" t="s">
        <v>197</v>
      </c>
      <c r="B21" s="5"/>
      <c r="C21" s="54" t="e">
        <f>AvgGmmMax1-(4-C16)</f>
        <v>#DIV/0!</v>
      </c>
      <c r="D21" s="6"/>
      <c r="E21" s="7"/>
      <c r="F21" s="54" t="e">
        <f>AvgGmmMax2-(4-F16)</f>
        <v>#DIV/0!</v>
      </c>
      <c r="G21" s="7"/>
      <c r="H21" s="7"/>
      <c r="I21" s="54" t="e">
        <f>AvgGmmMax3-(4-I16)</f>
        <v>#DIV/0!</v>
      </c>
      <c r="J21" s="7"/>
      <c r="K21" s="7"/>
      <c r="L21" s="54" t="e">
        <f>AvgGmmMax4-(4-L16)</f>
        <v>#DIV/0!</v>
      </c>
      <c r="M21" s="7"/>
    </row>
    <row r="22" spans="1:13" s="2" customFormat="1" ht="12.75">
      <c r="A22" s="4" t="s">
        <v>198</v>
      </c>
      <c r="B22" s="5"/>
      <c r="C22" s="54" t="e">
        <f>Pbi1-(0.4*(4-C16))</f>
        <v>#DIV/0!</v>
      </c>
      <c r="D22" s="6"/>
      <c r="E22" s="7"/>
      <c r="F22" s="54" t="e">
        <f>Pbi2-(0.4*(4-F16))</f>
        <v>#DIV/0!</v>
      </c>
      <c r="G22" s="7"/>
      <c r="H22" s="7"/>
      <c r="I22" s="54" t="e">
        <f>Pbi3-(0.4*(4-I16))</f>
        <v>#DIV/0!</v>
      </c>
      <c r="J22" s="7"/>
      <c r="K22" s="7"/>
      <c r="L22" s="54" t="e">
        <f>Pbi4-(0.4*(4-L16))</f>
        <v>#DIV/0!</v>
      </c>
      <c r="M22" s="7"/>
    </row>
    <row r="23" spans="1:12" s="2" customFormat="1" ht="12.75">
      <c r="A23" s="4" t="s">
        <v>199</v>
      </c>
      <c r="B23" s="5"/>
      <c r="C23" s="110" t="e">
        <f>AVERAGE(GmbMeas11,GmbMeas12,GmbMeas13)</f>
        <v>#DIV/0!</v>
      </c>
      <c r="D23" s="6"/>
      <c r="E23" s="7"/>
      <c r="F23" s="110" t="e">
        <f>AVERAGE(GmbMeas21,GmbMeas22,GmbMeas23)</f>
        <v>#DIV/0!</v>
      </c>
      <c r="G23" s="7"/>
      <c r="H23" s="7"/>
      <c r="I23" s="110" t="e">
        <f>AVERAGE(GmbMeas31,GmbMeas32,GmbMeas33)</f>
        <v>#DIV/0!</v>
      </c>
      <c r="J23" s="7"/>
      <c r="K23" s="3"/>
      <c r="L23" s="110" t="e">
        <f>AVERAGE(GmbMeas41,GmbMeas42,GmbMeas43)</f>
        <v>#DIV/0!</v>
      </c>
    </row>
    <row r="24" spans="1:13" s="2" customFormat="1" ht="12.75">
      <c r="A24" s="4" t="s">
        <v>200</v>
      </c>
      <c r="B24" s="5"/>
      <c r="C24" s="54" t="e">
        <f>100-AvgGmmMax1</f>
        <v>#DIV/0!</v>
      </c>
      <c r="D24" s="6"/>
      <c r="E24" s="7"/>
      <c r="F24" s="54" t="e">
        <f>100-AvgGmmMax2</f>
        <v>#DIV/0!</v>
      </c>
      <c r="H24" s="7"/>
      <c r="I24" s="54" t="e">
        <f>100-AvgGmmMax3</f>
        <v>#DIV/0!</v>
      </c>
      <c r="J24" s="7"/>
      <c r="K24" s="7"/>
      <c r="L24" s="54" t="e">
        <f>100-AvgGmmMax4</f>
        <v>#DIV/0!</v>
      </c>
      <c r="M24" s="7"/>
    </row>
    <row r="25" spans="1:3" s="1" customFormat="1" ht="12.75">
      <c r="A25" s="30" t="s">
        <v>201</v>
      </c>
      <c r="C25" s="54">
        <f>((Diam/2)^2)*PI()</f>
        <v>17671.458676442588</v>
      </c>
    </row>
    <row r="26" s="1" customFormat="1" ht="13.5" thickBot="1">
      <c r="A26" s="30"/>
    </row>
    <row r="27" spans="1:12" s="1" customFormat="1" ht="12.75">
      <c r="A27" s="2"/>
      <c r="B27" s="146"/>
      <c r="C27" s="147"/>
      <c r="D27" s="147"/>
      <c r="E27" s="147"/>
      <c r="F27" s="147"/>
      <c r="G27" s="147"/>
      <c r="H27" s="147"/>
      <c r="I27" s="147"/>
      <c r="J27" s="147"/>
      <c r="K27" s="147"/>
      <c r="L27" s="148"/>
    </row>
    <row r="28" spans="1:12" s="1" customFormat="1" ht="30">
      <c r="A28" s="103"/>
      <c r="B28" s="149"/>
      <c r="C28" s="139" t="s">
        <v>202</v>
      </c>
      <c r="D28" s="140" t="s">
        <v>203</v>
      </c>
      <c r="E28" s="139" t="s">
        <v>131</v>
      </c>
      <c r="F28" s="139" t="s">
        <v>133</v>
      </c>
      <c r="G28" s="141" t="s">
        <v>204</v>
      </c>
      <c r="H28" s="102"/>
      <c r="I28" s="102"/>
      <c r="J28" s="102"/>
      <c r="K28" s="102"/>
      <c r="L28" s="150"/>
    </row>
    <row r="29" spans="1:12" s="1" customFormat="1" ht="12.75">
      <c r="A29" s="103"/>
      <c r="B29" s="149"/>
      <c r="C29" s="138">
        <f>Pbi1</f>
        <v>0</v>
      </c>
      <c r="D29" s="138" t="e">
        <f>AirVoids1</f>
        <v>#DIV/0!</v>
      </c>
      <c r="E29" s="138" t="e">
        <f>VMA1</f>
        <v>#DIV/0!</v>
      </c>
      <c r="F29" s="138" t="e">
        <f>EstVFA1</f>
        <v>#DIV/0!</v>
      </c>
      <c r="G29" s="142" t="e">
        <f>AirVoidsAtNmax1</f>
        <v>#DIV/0!</v>
      </c>
      <c r="H29" s="102"/>
      <c r="I29" s="102"/>
      <c r="J29" s="102"/>
      <c r="K29" s="102"/>
      <c r="L29" s="150"/>
    </row>
    <row r="30" spans="1:12" s="1" customFormat="1" ht="12.75">
      <c r="A30" s="103"/>
      <c r="B30" s="149"/>
      <c r="C30" s="138">
        <f>Pbi2</f>
        <v>0</v>
      </c>
      <c r="D30" s="138" t="e">
        <f>AirVoids2</f>
        <v>#DIV/0!</v>
      </c>
      <c r="E30" s="138" t="e">
        <f>VMA2</f>
        <v>#DIV/0!</v>
      </c>
      <c r="F30" s="138" t="e">
        <f>EstVFA2</f>
        <v>#DIV/0!</v>
      </c>
      <c r="G30" s="142" t="e">
        <f>AirVoidsAtNmax2</f>
        <v>#DIV/0!</v>
      </c>
      <c r="H30" s="102"/>
      <c r="I30" s="102"/>
      <c r="J30" s="102"/>
      <c r="K30" s="102"/>
      <c r="L30" s="150"/>
    </row>
    <row r="31" spans="1:12" s="1" customFormat="1" ht="12.75">
      <c r="A31" s="2"/>
      <c r="B31" s="149"/>
      <c r="C31" s="138">
        <f>Pbi3</f>
        <v>0</v>
      </c>
      <c r="D31" s="138" t="e">
        <f>AirVoids3</f>
        <v>#DIV/0!</v>
      </c>
      <c r="E31" s="138" t="e">
        <f>VMA3</f>
        <v>#DIV/0!</v>
      </c>
      <c r="F31" s="138" t="e">
        <f>EstVFA3</f>
        <v>#DIV/0!</v>
      </c>
      <c r="G31" s="142" t="e">
        <f>AirVoidsAtNmax3</f>
        <v>#DIV/0!</v>
      </c>
      <c r="H31" s="102"/>
      <c r="I31" s="102"/>
      <c r="J31" s="102"/>
      <c r="K31" s="102"/>
      <c r="L31" s="150"/>
    </row>
    <row r="32" spans="1:15" s="1" customFormat="1" ht="12.75">
      <c r="A32" s="2"/>
      <c r="B32" s="149"/>
      <c r="C32" s="138">
        <f>Pbi4</f>
        <v>0</v>
      </c>
      <c r="D32" s="138" t="e">
        <f>AirVoids4</f>
        <v>#DIV/0!</v>
      </c>
      <c r="E32" s="138" t="e">
        <f>VMA4</f>
        <v>#DIV/0!</v>
      </c>
      <c r="F32" s="138" t="e">
        <f>EstVFA4</f>
        <v>#DIV/0!</v>
      </c>
      <c r="G32" s="142" t="e">
        <f>AirVoidsAtNmax4</f>
        <v>#DIV/0!</v>
      </c>
      <c r="H32" s="102"/>
      <c r="I32" s="102"/>
      <c r="J32" s="102"/>
      <c r="K32" s="102"/>
      <c r="L32" s="150"/>
      <c r="O32" s="415"/>
    </row>
    <row r="33" spans="1:15" s="1" customFormat="1" ht="12.75">
      <c r="A33" s="2"/>
      <c r="B33" s="149"/>
      <c r="C33" s="102"/>
      <c r="D33" s="102"/>
      <c r="E33" s="102"/>
      <c r="F33" s="102"/>
      <c r="G33" s="102"/>
      <c r="H33" s="102"/>
      <c r="I33" s="102"/>
      <c r="J33" s="102"/>
      <c r="K33" s="102"/>
      <c r="L33" s="150"/>
      <c r="O33" s="415"/>
    </row>
    <row r="34" spans="1:12" s="1" customFormat="1" ht="12.75">
      <c r="A34" s="2"/>
      <c r="B34" s="149"/>
      <c r="C34" s="78" t="s">
        <v>205</v>
      </c>
      <c r="D34" s="87"/>
      <c r="E34" s="87"/>
      <c r="F34" s="87"/>
      <c r="G34" s="87"/>
      <c r="H34" s="87"/>
      <c r="I34" s="87"/>
      <c r="J34" s="87"/>
      <c r="K34" s="76"/>
      <c r="L34" s="150"/>
    </row>
    <row r="35" spans="1:12" s="1" customFormat="1" ht="12.75">
      <c r="A35" s="2"/>
      <c r="B35" s="149"/>
      <c r="C35" s="86" t="s">
        <v>206</v>
      </c>
      <c r="D35" s="86" t="s">
        <v>207</v>
      </c>
      <c r="E35" s="85" t="s">
        <v>208</v>
      </c>
      <c r="F35" s="85"/>
      <c r="G35" s="86" t="s">
        <v>209</v>
      </c>
      <c r="H35" s="86" t="s">
        <v>210</v>
      </c>
      <c r="I35" s="86" t="s">
        <v>211</v>
      </c>
      <c r="J35" s="78" t="s">
        <v>212</v>
      </c>
      <c r="K35" s="85"/>
      <c r="L35" s="150"/>
    </row>
    <row r="36" spans="1:12" s="1" customFormat="1" ht="12.75">
      <c r="A36" s="2"/>
      <c r="B36" s="149"/>
      <c r="C36" s="84">
        <v>3.5</v>
      </c>
      <c r="D36" s="84">
        <f>VMAMin</f>
        <v>13</v>
      </c>
      <c r="E36" s="84">
        <f>VFAMin</f>
        <v>65</v>
      </c>
      <c r="F36" s="84">
        <f>VFAMax</f>
        <v>78</v>
      </c>
      <c r="G36" s="84">
        <f>VAMin</f>
        <v>4</v>
      </c>
      <c r="H36" s="84">
        <f>NiniLim</f>
        <v>90.5</v>
      </c>
      <c r="I36" s="84">
        <f>NmaxLim</f>
        <v>98</v>
      </c>
      <c r="J36" s="84">
        <f>DustMin</f>
        <v>0.6</v>
      </c>
      <c r="K36" s="84">
        <f>DustMax</f>
        <v>1.2</v>
      </c>
      <c r="L36" s="150"/>
    </row>
    <row r="37" spans="1:12" s="1" customFormat="1" ht="12.75">
      <c r="A37" s="2"/>
      <c r="B37" s="149"/>
      <c r="C37" s="214">
        <v>7</v>
      </c>
      <c r="D37" s="84">
        <f aca="true" t="shared" si="0" ref="D37:K37">D36</f>
        <v>13</v>
      </c>
      <c r="E37" s="84">
        <f t="shared" si="0"/>
        <v>65</v>
      </c>
      <c r="F37" s="84">
        <f t="shared" si="0"/>
        <v>78</v>
      </c>
      <c r="G37" s="84">
        <f t="shared" si="0"/>
        <v>4</v>
      </c>
      <c r="H37" s="84">
        <f t="shared" si="0"/>
        <v>90.5</v>
      </c>
      <c r="I37" s="84">
        <f t="shared" si="0"/>
        <v>98</v>
      </c>
      <c r="J37" s="84">
        <f t="shared" si="0"/>
        <v>0.6</v>
      </c>
      <c r="K37" s="84">
        <f t="shared" si="0"/>
        <v>1.2</v>
      </c>
      <c r="L37" s="150"/>
    </row>
    <row r="38" spans="1:12" s="1" customFormat="1" ht="12.75">
      <c r="A38" s="2"/>
      <c r="B38" s="149"/>
      <c r="C38" s="102"/>
      <c r="D38" s="102"/>
      <c r="E38" s="102"/>
      <c r="F38" s="102"/>
      <c r="G38" s="102"/>
      <c r="H38" s="102"/>
      <c r="I38" s="102"/>
      <c r="J38" s="102"/>
      <c r="K38" s="102"/>
      <c r="L38" s="150"/>
    </row>
    <row r="39" spans="1:12" s="1" customFormat="1" ht="12.75">
      <c r="A39" s="2"/>
      <c r="B39" s="149"/>
      <c r="C39" s="143" t="s">
        <v>213</v>
      </c>
      <c r="D39" s="144"/>
      <c r="E39" s="144"/>
      <c r="F39" s="145"/>
      <c r="G39" s="102"/>
      <c r="H39" s="510"/>
      <c r="I39" s="509" t="s">
        <v>214</v>
      </c>
      <c r="J39" s="102"/>
      <c r="K39" s="102"/>
      <c r="L39" s="150"/>
    </row>
    <row r="40" spans="1:12" s="1" customFormat="1" ht="12.75">
      <c r="A40" s="2"/>
      <c r="B40" s="149"/>
      <c r="C40" s="416">
        <v>1</v>
      </c>
      <c r="D40" s="84">
        <f>NiniLim</f>
        <v>90.5</v>
      </c>
      <c r="E40" s="416">
        <f>NdesLim</f>
        <v>96</v>
      </c>
      <c r="F40" s="508">
        <f>NmaxLim</f>
        <v>98</v>
      </c>
      <c r="G40" s="102"/>
      <c r="H40" s="102"/>
      <c r="I40" s="102"/>
      <c r="J40" s="102"/>
      <c r="K40" s="102"/>
      <c r="L40" s="150"/>
    </row>
    <row r="41" spans="1:12" s="1" customFormat="1" ht="12.75">
      <c r="A41" s="2"/>
      <c r="B41" s="149"/>
      <c r="C41" s="416">
        <v>1000</v>
      </c>
      <c r="D41" s="84">
        <f>NiniLim</f>
        <v>90.5</v>
      </c>
      <c r="E41" s="416">
        <f>NdesLim</f>
        <v>96</v>
      </c>
      <c r="F41" s="508">
        <f>NmaxLim</f>
        <v>98</v>
      </c>
      <c r="G41" s="102"/>
      <c r="H41" s="102"/>
      <c r="I41" s="102"/>
      <c r="J41" s="85" t="s">
        <v>215</v>
      </c>
      <c r="K41" s="85"/>
      <c r="L41" s="150"/>
    </row>
    <row r="42" spans="1:12" s="1" customFormat="1" ht="12.75">
      <c r="A42" s="2"/>
      <c r="B42" s="149"/>
      <c r="C42" s="102"/>
      <c r="D42" s="102"/>
      <c r="E42" s="102"/>
      <c r="F42" s="102"/>
      <c r="G42" s="102"/>
      <c r="H42" s="102"/>
      <c r="I42" s="102"/>
      <c r="J42" s="84">
        <v>1</v>
      </c>
      <c r="K42" s="214">
        <v>9.5</v>
      </c>
      <c r="L42" s="150"/>
    </row>
    <row r="43" spans="2:12" s="1" customFormat="1" ht="13.5" thickBot="1">
      <c r="B43" s="149"/>
      <c r="C43" s="417" t="s">
        <v>216</v>
      </c>
      <c r="D43" s="418"/>
      <c r="E43" s="418"/>
      <c r="F43" s="418"/>
      <c r="G43" s="418"/>
      <c r="H43" s="419"/>
      <c r="I43" s="102"/>
      <c r="J43" s="84">
        <v>2</v>
      </c>
      <c r="K43" s="214">
        <v>12.5</v>
      </c>
      <c r="L43" s="150"/>
    </row>
    <row r="44" spans="2:12" s="1" customFormat="1" ht="12.75">
      <c r="B44" s="149"/>
      <c r="C44" s="424">
        <f>NINI</f>
        <v>7</v>
      </c>
      <c r="D44" s="425">
        <v>80</v>
      </c>
      <c r="E44" s="420">
        <f>NDES</f>
        <v>75</v>
      </c>
      <c r="F44" s="421">
        <v>80</v>
      </c>
      <c r="G44" s="504">
        <f>NMAX</f>
        <v>115</v>
      </c>
      <c r="H44" s="505">
        <v>80</v>
      </c>
      <c r="I44" s="102"/>
      <c r="J44" s="84">
        <v>3</v>
      </c>
      <c r="K44" s="214">
        <v>19</v>
      </c>
      <c r="L44" s="150"/>
    </row>
    <row r="45" spans="2:12" s="1" customFormat="1" ht="13.5" thickBot="1">
      <c r="B45" s="149"/>
      <c r="C45" s="426">
        <f>NINI</f>
        <v>7</v>
      </c>
      <c r="D45" s="427">
        <v>89</v>
      </c>
      <c r="E45" s="422">
        <f>NDES</f>
        <v>75</v>
      </c>
      <c r="F45" s="423">
        <v>96</v>
      </c>
      <c r="G45" s="506">
        <f>NMAX</f>
        <v>115</v>
      </c>
      <c r="H45" s="507">
        <v>98</v>
      </c>
      <c r="I45" s="102"/>
      <c r="J45" s="84">
        <v>4</v>
      </c>
      <c r="K45" s="214">
        <v>25</v>
      </c>
      <c r="L45" s="150"/>
    </row>
    <row r="46" spans="2:12" s="1" customFormat="1" ht="12.75">
      <c r="B46" s="149"/>
      <c r="C46" s="102"/>
      <c r="D46" s="102"/>
      <c r="E46" s="102"/>
      <c r="F46" s="102"/>
      <c r="G46" s="102"/>
      <c r="H46" s="102"/>
      <c r="I46" s="102"/>
      <c r="J46" s="84">
        <v>5</v>
      </c>
      <c r="K46" s="214">
        <v>37.5</v>
      </c>
      <c r="L46" s="150"/>
    </row>
    <row r="47" spans="2:12" s="1" customFormat="1" ht="12.75">
      <c r="B47" s="149"/>
      <c r="C47" s="78" t="s">
        <v>217</v>
      </c>
      <c r="D47" s="87"/>
      <c r="E47" s="87"/>
      <c r="F47" s="87"/>
      <c r="G47" s="76"/>
      <c r="H47" s="102"/>
      <c r="I47" s="102"/>
      <c r="J47" s="213">
        <v>3</v>
      </c>
      <c r="K47" s="212">
        <f>VLOOKUP(SieveIndex,Sieves,2)</f>
        <v>19</v>
      </c>
      <c r="L47" s="150"/>
    </row>
    <row r="48" spans="2:12" s="1" customFormat="1" ht="25.5">
      <c r="B48" s="149"/>
      <c r="C48" s="84"/>
      <c r="D48" s="84" t="s">
        <v>218</v>
      </c>
      <c r="E48" s="84" t="s">
        <v>219</v>
      </c>
      <c r="F48" s="84" t="s">
        <v>220</v>
      </c>
      <c r="G48" s="159" t="s">
        <v>221</v>
      </c>
      <c r="H48" s="102"/>
      <c r="I48" s="102"/>
      <c r="J48" s="85" t="s">
        <v>222</v>
      </c>
      <c r="K48" s="85"/>
      <c r="L48" s="150"/>
    </row>
    <row r="49" spans="2:12" s="1" customFormat="1" ht="12.75">
      <c r="B49" s="149"/>
      <c r="C49" s="84" t="s">
        <v>223</v>
      </c>
      <c r="D49" s="155">
        <f>IF('Densification Report'!B14="","",('Densification Report'!B14/'Densification Report'!B13*'Densification Report'!B15))</f>
      </c>
      <c r="E49" s="155">
        <f>IF('Densification Report'!E14="","",('Densification Report'!E14/'Densification Report'!E13*'Densification Report'!E15))</f>
      </c>
      <c r="F49" s="155">
        <f>IF('Densification Report'!H14="","",('Densification Report'!H14/'Densification Report'!H13*'Densification Report'!H15))</f>
      </c>
      <c r="G49" s="157" t="e">
        <f>AVERAGE(D49:F49)*1000</f>
        <v>#DIV/0!</v>
      </c>
      <c r="H49" s="102"/>
      <c r="I49" s="102"/>
      <c r="J49" s="84">
        <v>1</v>
      </c>
      <c r="K49" s="84">
        <v>100</v>
      </c>
      <c r="L49" s="150"/>
    </row>
    <row r="50" spans="2:12" s="1" customFormat="1" ht="12.75">
      <c r="B50" s="149"/>
      <c r="C50" s="84" t="s">
        <v>224</v>
      </c>
      <c r="D50" s="156">
        <f>IF('Densification Report'!B25="","",('Densification Report'!B25/'Densification Report'!B24*'Densification Report'!B26))</f>
      </c>
      <c r="E50" s="156">
        <f>IF('Densification Report'!E25="","",('Densification Report'!E25/'Densification Report'!E24*'Densification Report'!E26))</f>
      </c>
      <c r="F50" s="156">
        <f>IF('Densification Report'!H25="","",('Densification Report'!H25/'Densification Report'!H24*'Densification Report'!H26))</f>
      </c>
      <c r="G50" s="158" t="e">
        <f>AVERAGE(D50:F50)*1000</f>
        <v>#DIV/0!</v>
      </c>
      <c r="H50" s="102"/>
      <c r="I50" s="102"/>
      <c r="J50" s="84">
        <v>2</v>
      </c>
      <c r="K50" s="84">
        <v>150</v>
      </c>
      <c r="L50" s="150"/>
    </row>
    <row r="51" spans="2:12" s="1" customFormat="1" ht="12.75">
      <c r="B51" s="149"/>
      <c r="C51" s="84" t="s">
        <v>225</v>
      </c>
      <c r="D51" s="155">
        <f>IF('Densification Report'!B36="","",('Densification Report'!B36/'Densification Report'!B35*'Densification Report'!B37))</f>
      </c>
      <c r="E51" s="155">
        <f>IF('Densification Report'!E36="","",('Densification Report'!E36/'Densification Report'!E35*'Densification Report'!E37))</f>
      </c>
      <c r="F51" s="155">
        <f>IF('Densification Report'!H36="","",('Densification Report'!H36/'Densification Report'!H35*'Densification Report'!H37))</f>
      </c>
      <c r="G51" s="158" t="e">
        <f>AVERAGE(D51:F51)*1000</f>
        <v>#DIV/0!</v>
      </c>
      <c r="H51" s="102"/>
      <c r="I51" s="102"/>
      <c r="J51" s="212">
        <f>CHOOSE(DiamIndex,100,150)</f>
        <v>150</v>
      </c>
      <c r="K51" s="213">
        <v>2</v>
      </c>
      <c r="L51" s="150"/>
    </row>
    <row r="52" spans="2:12" s="1" customFormat="1" ht="12.75">
      <c r="B52" s="149"/>
      <c r="C52" s="84" t="s">
        <v>226</v>
      </c>
      <c r="D52" s="155">
        <f>IF('Densification Report'!B47="","",('Densification Report'!B47/'Densification Report'!B46*'Densification Report'!B48))</f>
      </c>
      <c r="E52" s="155">
        <f>IF('Densification Report'!E47="","",('Densification Report'!E47/'Densification Report'!E46*'Densification Report'!E48))</f>
      </c>
      <c r="F52" s="155">
        <f>IF('Densification Report'!H47="","",('Densification Report'!H47/'Densification Report'!H46*'Densification Report'!H48))</f>
      </c>
      <c r="G52" s="158" t="e">
        <f>AVERAGE(D52:F52)*1000</f>
        <v>#DIV/0!</v>
      </c>
      <c r="H52" s="102"/>
      <c r="I52" s="102"/>
      <c r="J52" s="102"/>
      <c r="K52" s="102"/>
      <c r="L52" s="150"/>
    </row>
    <row r="53" spans="2:12" s="1" customFormat="1" ht="12.75">
      <c r="B53" s="149"/>
      <c r="C53" s="102"/>
      <c r="D53" s="102"/>
      <c r="E53" s="102"/>
      <c r="F53" s="102"/>
      <c r="G53" s="102"/>
      <c r="H53" s="102"/>
      <c r="I53" s="102"/>
      <c r="J53" s="102" t="s">
        <v>227</v>
      </c>
      <c r="K53" s="353">
        <v>2</v>
      </c>
      <c r="L53" s="150"/>
    </row>
    <row r="54" spans="2:12" s="1" customFormat="1" ht="12.75">
      <c r="B54" s="149"/>
      <c r="C54" s="102" t="s">
        <v>228</v>
      </c>
      <c r="D54" s="102"/>
      <c r="E54" s="102"/>
      <c r="F54" s="102"/>
      <c r="G54" s="102"/>
      <c r="H54" s="102"/>
      <c r="I54" s="102"/>
      <c r="J54" s="102"/>
      <c r="K54" s="102"/>
      <c r="L54" s="150"/>
    </row>
    <row r="55" spans="2:12" s="1" customFormat="1" ht="12.75">
      <c r="B55" s="149"/>
      <c r="C55" s="102"/>
      <c r="D55" s="102"/>
      <c r="E55" s="102"/>
      <c r="F55" s="102"/>
      <c r="G55" s="102"/>
      <c r="H55" s="102"/>
      <c r="I55" s="102"/>
      <c r="J55" s="102" t="s">
        <v>229</v>
      </c>
      <c r="K55" s="404">
        <v>1</v>
      </c>
      <c r="L55" s="150"/>
    </row>
    <row r="56" spans="2:12" s="1" customFormat="1" ht="12" customHeight="1">
      <c r="B56" s="149"/>
      <c r="C56" s="102"/>
      <c r="D56" s="102"/>
      <c r="E56" s="102"/>
      <c r="F56" s="102"/>
      <c r="G56" s="102"/>
      <c r="H56" s="102"/>
      <c r="I56" s="102"/>
      <c r="J56" s="102" t="s">
        <v>230</v>
      </c>
      <c r="K56" s="404">
        <v>2</v>
      </c>
      <c r="L56" s="150"/>
    </row>
    <row r="57" spans="2:12" s="1" customFormat="1" ht="13.5" thickBot="1">
      <c r="B57" s="151"/>
      <c r="C57" s="152"/>
      <c r="D57" s="152"/>
      <c r="E57" s="152"/>
      <c r="F57" s="152"/>
      <c r="G57" s="152"/>
      <c r="H57" s="152"/>
      <c r="I57" s="152"/>
      <c r="J57" s="152"/>
      <c r="K57" s="152"/>
      <c r="L57" s="153"/>
    </row>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1" customFormat="1" ht="12.75"/>
    <row r="1349" s="1" customFormat="1" ht="12.75"/>
    <row r="1350" s="1" customFormat="1" ht="12.75"/>
    <row r="1351" s="1" customFormat="1" ht="12.75"/>
    <row r="1352" s="1" customFormat="1" ht="12.75"/>
    <row r="1353" s="1" customFormat="1" ht="12.75"/>
    <row r="1354" s="1" customFormat="1" ht="12.75"/>
    <row r="1355" s="1" customFormat="1" ht="12.75"/>
    <row r="1356" s="1" customFormat="1" ht="12.75"/>
    <row r="1357" s="1" customFormat="1" ht="12.75"/>
    <row r="1358" s="1" customFormat="1" ht="12.75"/>
    <row r="1359" s="1" customFormat="1" ht="12.75"/>
    <row r="1360" s="1" customFormat="1" ht="12.75"/>
    <row r="1361" s="1" customFormat="1" ht="12.75"/>
    <row r="1362" s="1" customFormat="1" ht="12.75"/>
    <row r="1363" s="1" customFormat="1" ht="12.75"/>
    <row r="1364" s="1" customFormat="1" ht="12.75"/>
    <row r="1365" s="1" customFormat="1" ht="12.75"/>
    <row r="1366" s="1" customFormat="1" ht="12.75"/>
    <row r="1367" s="1" customFormat="1" ht="12.75"/>
    <row r="1368" s="1" customFormat="1" ht="12.75"/>
    <row r="1369" s="1" customFormat="1" ht="12.75"/>
    <row r="1370" s="1" customFormat="1" ht="12.75"/>
    <row r="1371" s="1" customFormat="1" ht="12.75"/>
    <row r="1372" s="1" customFormat="1" ht="12.75"/>
    <row r="1373" s="1" customFormat="1" ht="12.75"/>
    <row r="1374" s="1" customFormat="1" ht="12.75"/>
    <row r="1375" s="1" customFormat="1" ht="12.75"/>
    <row r="1376" s="1" customFormat="1" ht="12.75"/>
    <row r="1377" s="1" customFormat="1" ht="12.75"/>
    <row r="1378" s="1" customFormat="1" ht="12.75"/>
    <row r="1379" s="1" customFormat="1" ht="12.75"/>
    <row r="1380" s="1" customFormat="1" ht="12.75"/>
    <row r="1381" s="1" customFormat="1" ht="12.75"/>
    <row r="1382" s="1" customFormat="1" ht="12.75"/>
    <row r="1383" s="1" customFormat="1" ht="12.75"/>
    <row r="1384" s="1" customFormat="1" ht="12.75"/>
    <row r="1385" s="1" customFormat="1" ht="12.75"/>
    <row r="1386" s="1" customFormat="1" ht="12.75"/>
    <row r="1387" s="1" customFormat="1" ht="12.75"/>
    <row r="1388" s="1" customFormat="1" ht="12.75"/>
    <row r="1389" s="1" customFormat="1" ht="12.75"/>
    <row r="1390" s="1" customFormat="1" ht="12.75"/>
    <row r="1391" s="1" customFormat="1" ht="12.75"/>
    <row r="1392" s="1" customFormat="1" ht="12.75"/>
    <row r="1393" s="1" customFormat="1" ht="12.75"/>
    <row r="1394" s="1" customFormat="1" ht="12.75"/>
    <row r="1395" s="1" customFormat="1" ht="12.75"/>
    <row r="1396" s="1" customFormat="1" ht="12.75"/>
    <row r="1397" s="1" customFormat="1" ht="12.75"/>
    <row r="1398" s="1" customFormat="1" ht="12.75"/>
    <row r="1399" s="1" customFormat="1" ht="12.75"/>
    <row r="1400" s="1" customFormat="1" ht="12.75"/>
    <row r="1401" s="1" customFormat="1" ht="12.75"/>
    <row r="1402" s="1" customFormat="1" ht="12.75"/>
    <row r="1403" s="1" customFormat="1" ht="12.75"/>
    <row r="1404" s="1" customFormat="1" ht="12.75"/>
    <row r="1405" s="1" customFormat="1" ht="12.75"/>
    <row r="1406" s="1" customFormat="1" ht="12.75"/>
    <row r="1407" s="1" customFormat="1" ht="12.75"/>
    <row r="1408" s="1" customFormat="1" ht="12.75"/>
    <row r="1409" s="1" customFormat="1" ht="12.75"/>
    <row r="1410" s="1" customFormat="1" ht="12.75"/>
    <row r="1411" s="1" customFormat="1" ht="12.75"/>
    <row r="1412" s="1" customFormat="1" ht="12.75"/>
    <row r="1413" s="1" customFormat="1" ht="12.75"/>
    <row r="1414" s="1" customFormat="1" ht="12.75"/>
    <row r="1415" s="1" customFormat="1" ht="12.75"/>
    <row r="1416" s="1" customFormat="1" ht="12.75"/>
    <row r="1417" s="1" customFormat="1" ht="12.75"/>
    <row r="1418" s="1" customFormat="1" ht="12.75"/>
    <row r="1419" s="1" customFormat="1" ht="12.75"/>
    <row r="1420" s="1" customFormat="1" ht="12.75"/>
    <row r="1421" s="1" customFormat="1" ht="12.75"/>
    <row r="1422" s="1" customFormat="1" ht="12.75"/>
    <row r="1423" s="1" customFormat="1" ht="12.75"/>
    <row r="1424" s="1" customFormat="1" ht="12.75"/>
    <row r="1425" s="1" customFormat="1" ht="12.75"/>
    <row r="1426" s="1" customFormat="1" ht="12.75"/>
    <row r="1427" s="1" customFormat="1" ht="12.75"/>
    <row r="1428" s="1" customFormat="1" ht="12.75"/>
    <row r="1429" s="1" customFormat="1" ht="12.75"/>
    <row r="1430" s="1" customFormat="1" ht="12.75"/>
    <row r="1431" s="1" customFormat="1" ht="12.75"/>
    <row r="1432" s="1" customFormat="1" ht="12.75"/>
    <row r="1433" s="1" customFormat="1" ht="12.75"/>
    <row r="1434" s="1" customFormat="1" ht="12.75"/>
    <row r="1435" s="1" customFormat="1" ht="12.75"/>
    <row r="1436" s="1" customFormat="1" ht="12.75"/>
    <row r="1437" s="1" customFormat="1" ht="12.75"/>
    <row r="1438" s="1" customFormat="1" ht="12.75"/>
    <row r="1439" s="1" customFormat="1" ht="12.75"/>
    <row r="1440" s="1" customFormat="1" ht="12.75"/>
    <row r="1441" s="1" customFormat="1" ht="12.75"/>
    <row r="1442" s="1" customFormat="1" ht="12.75"/>
    <row r="1443" s="1" customFormat="1" ht="12.75"/>
    <row r="1444" s="1" customFormat="1" ht="12.75"/>
    <row r="1445" s="1" customFormat="1" ht="12.75"/>
    <row r="1446" s="1" customFormat="1" ht="12.75"/>
    <row r="1447" s="1" customFormat="1" ht="12.75"/>
    <row r="1448" s="1" customFormat="1" ht="12.75"/>
    <row r="1449" s="1" customFormat="1" ht="12.75"/>
    <row r="1450" s="1" customFormat="1" ht="12.75"/>
    <row r="1451" s="1" customFormat="1" ht="12.75"/>
    <row r="1452" s="1" customFormat="1" ht="12.75"/>
    <row r="1453" s="1" customFormat="1" ht="12.75"/>
    <row r="1454" s="1" customFormat="1" ht="12.75"/>
    <row r="1455" s="1" customFormat="1" ht="12.75"/>
    <row r="1456" s="1" customFormat="1" ht="12.75"/>
    <row r="1457" s="1" customFormat="1" ht="12.75"/>
    <row r="1458" s="1" customFormat="1" ht="12.75"/>
    <row r="1459" s="1" customFormat="1" ht="12.75"/>
    <row r="1460" s="1" customFormat="1" ht="12.75"/>
    <row r="1461" s="1" customFormat="1" ht="12.75"/>
    <row r="1462" s="1" customFormat="1" ht="12.75"/>
    <row r="1463" s="1" customFormat="1" ht="12.75"/>
    <row r="1464" s="1" customFormat="1" ht="12.75"/>
    <row r="1465" s="1" customFormat="1" ht="12.75"/>
    <row r="1466" s="1" customFormat="1" ht="12.75"/>
    <row r="1467" s="1" customFormat="1" ht="12.75"/>
    <row r="1468" s="1" customFormat="1" ht="12.75"/>
    <row r="1469" s="1" customFormat="1" ht="12.75"/>
    <row r="1470" s="1" customFormat="1" ht="12.75"/>
    <row r="1471" s="1" customFormat="1" ht="12.75"/>
    <row r="1472" s="1" customFormat="1" ht="12.75"/>
    <row r="1473" s="1" customFormat="1" ht="12.75"/>
    <row r="1474" s="1" customFormat="1" ht="12.75"/>
    <row r="1475" s="1" customFormat="1" ht="12.75"/>
    <row r="1476" s="1" customFormat="1" ht="12.75"/>
    <row r="1477" s="1" customFormat="1" ht="12.75"/>
    <row r="1478" s="1" customFormat="1" ht="12.75"/>
    <row r="1479" s="1" customFormat="1" ht="12.75"/>
    <row r="1480" s="1" customFormat="1" ht="12.75"/>
    <row r="1481" s="1" customFormat="1" ht="12.75"/>
    <row r="1482" s="1" customFormat="1" ht="12.75"/>
    <row r="1483" s="1" customFormat="1" ht="12.75"/>
    <row r="1484" s="1" customFormat="1" ht="12.75"/>
    <row r="1485" s="1" customFormat="1" ht="12.75"/>
    <row r="1486" s="1" customFormat="1" ht="12.75"/>
    <row r="1487" s="1" customFormat="1" ht="12.75"/>
    <row r="1488" s="1" customFormat="1" ht="12.75"/>
    <row r="1489" s="1" customFormat="1" ht="12.75"/>
    <row r="1490" s="1" customFormat="1" ht="12.75"/>
    <row r="1491" s="1" customFormat="1" ht="12.75"/>
    <row r="1492" s="1" customFormat="1" ht="12.75"/>
    <row r="1493" s="1" customFormat="1" ht="12.75"/>
    <row r="1494" s="1" customFormat="1" ht="12.75"/>
    <row r="1495" s="1" customFormat="1" ht="12.75"/>
    <row r="1496" s="1" customFormat="1" ht="12.75"/>
    <row r="1497" s="1" customFormat="1" ht="12.75"/>
    <row r="1498" s="1" customFormat="1" ht="12.75"/>
    <row r="1499" s="1" customFormat="1" ht="12.75"/>
    <row r="1500" s="1" customFormat="1" ht="12.75"/>
    <row r="1501" s="1" customFormat="1" ht="12.75"/>
    <row r="1502" s="1" customFormat="1" ht="12.75"/>
    <row r="1503" s="1" customFormat="1" ht="12.75"/>
    <row r="1504" s="1" customFormat="1" ht="12.75"/>
    <row r="1505" s="1" customFormat="1" ht="12.75"/>
    <row r="1506" s="1" customFormat="1" ht="12.75"/>
    <row r="1507" s="1" customFormat="1" ht="12.75"/>
    <row r="1508" s="1" customFormat="1" ht="12.75"/>
    <row r="1509" s="1" customFormat="1" ht="12.75"/>
    <row r="1510" s="1" customFormat="1" ht="12.75"/>
    <row r="1511" s="1" customFormat="1" ht="12.75"/>
    <row r="1512" s="1" customFormat="1" ht="12.75"/>
    <row r="1513" s="1" customFormat="1" ht="12.75"/>
    <row r="1514" s="1" customFormat="1" ht="12.75"/>
    <row r="1515" s="1" customFormat="1" ht="12.75"/>
    <row r="1516" s="1" customFormat="1" ht="12.75"/>
    <row r="1517" s="1" customFormat="1" ht="12.75"/>
    <row r="1518" s="1" customFormat="1" ht="12.75"/>
    <row r="1519" s="1" customFormat="1" ht="12.75"/>
    <row r="1520" s="1" customFormat="1" ht="12.75"/>
    <row r="1521" s="1" customFormat="1" ht="12.75"/>
    <row r="1522" s="1" customFormat="1" ht="12.75"/>
    <row r="1523" s="1" customFormat="1" ht="12.75"/>
    <row r="1524" s="1" customFormat="1" ht="12.75"/>
    <row r="1525" s="1" customFormat="1" ht="12.75"/>
    <row r="1526" s="1" customFormat="1" ht="12.75"/>
    <row r="1527" s="1" customFormat="1" ht="12.75"/>
    <row r="1528" s="1" customFormat="1" ht="12.75"/>
    <row r="1529" s="1" customFormat="1" ht="12.75"/>
    <row r="1530" s="1" customFormat="1" ht="12.75"/>
    <row r="1531" s="1" customFormat="1" ht="12.75"/>
    <row r="1532" s="1" customFormat="1" ht="12.75"/>
    <row r="1533" s="1" customFormat="1" ht="12.75"/>
    <row r="1534" s="1" customFormat="1" ht="12.75"/>
    <row r="1535" s="1" customFormat="1" ht="12.75"/>
    <row r="1536" s="1" customFormat="1" ht="12.75"/>
    <row r="1537" s="1" customFormat="1" ht="12.75"/>
    <row r="1538" s="1" customFormat="1" ht="12.75"/>
    <row r="1539" s="1" customFormat="1" ht="12.75"/>
    <row r="1540" s="1" customFormat="1" ht="12.75"/>
  </sheetData>
  <printOptions gridLines="1"/>
  <pageMargins left="0.75" right="0.75" top="1" bottom="1" header="0.5" footer="0.5"/>
  <pageSetup horizontalDpi="120" verticalDpi="120" orientation="portrait" r:id="rId4"/>
  <headerFooter alignWithMargins="0">
    <oddHeader>&amp;C&amp;A</oddHeader>
    <oddFooter>&amp;CPage &amp;P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6"/>
  <dimension ref="A1:K32"/>
  <sheetViews>
    <sheetView workbookViewId="0" topLeftCell="A1">
      <selection activeCell="D9" sqref="D9"/>
    </sheetView>
  </sheetViews>
  <sheetFormatPr defaultColWidth="9.140625" defaultRowHeight="12.75"/>
  <cols>
    <col min="4" max="4" width="27.57421875" style="0" customWidth="1"/>
    <col min="5" max="5" width="27.140625" style="0" customWidth="1"/>
    <col min="6" max="6" width="27.28125" style="0" customWidth="1"/>
  </cols>
  <sheetData>
    <row r="1" spans="1:11" ht="12.75">
      <c r="A1" s="1"/>
      <c r="B1" s="1"/>
      <c r="C1" s="1"/>
      <c r="D1" s="1"/>
      <c r="E1" s="1"/>
      <c r="F1" s="1"/>
      <c r="G1" s="1"/>
      <c r="H1" s="1"/>
      <c r="I1" s="1"/>
      <c r="J1" s="1"/>
      <c r="K1" s="1"/>
    </row>
    <row r="2" spans="1:11" ht="12.75">
      <c r="A2" s="1"/>
      <c r="B2" s="1"/>
      <c r="C2" s="1"/>
      <c r="D2" s="1"/>
      <c r="E2" s="1"/>
      <c r="F2" s="1"/>
      <c r="G2" s="1"/>
      <c r="H2" s="1"/>
      <c r="I2" s="1"/>
      <c r="J2" s="1"/>
      <c r="K2" s="1"/>
    </row>
    <row r="3" spans="1:11" ht="12.75">
      <c r="A3" s="1"/>
      <c r="B3" s="1"/>
      <c r="C3" s="1"/>
      <c r="D3" s="1"/>
      <c r="E3" s="1"/>
      <c r="F3" s="1"/>
      <c r="G3" s="1"/>
      <c r="H3" s="1"/>
      <c r="I3" s="1"/>
      <c r="J3" s="1"/>
      <c r="K3" s="1"/>
    </row>
    <row r="4" spans="1:11" ht="12.75">
      <c r="A4" s="1"/>
      <c r="B4" s="1"/>
      <c r="C4" s="1"/>
      <c r="D4" s="1"/>
      <c r="E4" s="1"/>
      <c r="F4" s="1"/>
      <c r="G4" s="1"/>
      <c r="H4" s="1"/>
      <c r="I4" s="1"/>
      <c r="J4" s="1"/>
      <c r="K4" s="1"/>
    </row>
    <row r="5" spans="1:11" ht="24.75" customHeight="1">
      <c r="A5" s="1"/>
      <c r="B5" s="1"/>
      <c r="C5" s="1"/>
      <c r="D5" s="564" t="s">
        <v>231</v>
      </c>
      <c r="E5" s="565"/>
      <c r="F5" s="566"/>
      <c r="G5" s="1"/>
      <c r="H5" s="1"/>
      <c r="I5" s="1"/>
      <c r="J5" s="1"/>
      <c r="K5" s="1"/>
    </row>
    <row r="6" spans="1:11" ht="12.75">
      <c r="A6" s="1"/>
      <c r="B6" s="1"/>
      <c r="C6" s="1"/>
      <c r="D6" s="518" t="s">
        <v>232</v>
      </c>
      <c r="E6" s="518" t="s">
        <v>233</v>
      </c>
      <c r="F6" s="518" t="s">
        <v>234</v>
      </c>
      <c r="G6" s="1"/>
      <c r="H6" s="1"/>
      <c r="I6" s="1"/>
      <c r="J6" s="1"/>
      <c r="K6" s="1"/>
    </row>
    <row r="7" spans="1:11" ht="12.75">
      <c r="A7" s="1"/>
      <c r="B7" s="1"/>
      <c r="C7" s="1"/>
      <c r="D7" s="511" t="s">
        <v>105</v>
      </c>
      <c r="E7" s="512" t="str">
        <f>CHOOSE(DiamIndex,"100 mm","150 mm")</f>
        <v>150 mm</v>
      </c>
      <c r="F7" s="563" t="s">
        <v>235</v>
      </c>
      <c r="G7" s="1"/>
      <c r="H7" s="1"/>
      <c r="I7" s="1"/>
      <c r="J7" s="1"/>
      <c r="K7" s="1"/>
    </row>
    <row r="8" spans="1:11" ht="12.75">
      <c r="A8" s="1"/>
      <c r="B8" s="1"/>
      <c r="C8" s="1"/>
      <c r="D8" s="513" t="s">
        <v>236</v>
      </c>
      <c r="E8" s="514" t="str">
        <f>CHOOSE(EntryMode,"From Table","Manual")</f>
        <v>From Table</v>
      </c>
      <c r="F8" s="563" t="s">
        <v>237</v>
      </c>
      <c r="G8" s="1"/>
      <c r="H8" s="1"/>
      <c r="I8" s="1"/>
      <c r="J8" s="1"/>
      <c r="K8" s="1"/>
    </row>
    <row r="9" spans="1:11" ht="12.75">
      <c r="A9" s="1"/>
      <c r="B9" s="1"/>
      <c r="C9" s="1"/>
      <c r="D9" s="513" t="s">
        <v>230</v>
      </c>
      <c r="E9" s="515" t="str">
        <f>CHOOSE(CompacMode,"To Ndesign","To Nmax")</f>
        <v>To Nmax</v>
      </c>
      <c r="F9" s="563" t="s">
        <v>238</v>
      </c>
      <c r="G9" s="1"/>
      <c r="H9" s="1"/>
      <c r="I9" s="1"/>
      <c r="J9" s="1"/>
      <c r="K9" s="1"/>
    </row>
    <row r="10" spans="1:11" ht="12.75">
      <c r="A10" s="1"/>
      <c r="B10" s="1"/>
      <c r="C10" s="1"/>
      <c r="D10" s="511" t="s">
        <v>227</v>
      </c>
      <c r="E10" s="512" t="str">
        <f>CHOOSE(TrialType,"Trial Aggregate Blend Analysis","Varying % AC Analysis")</f>
        <v>Varying % AC Analysis</v>
      </c>
      <c r="F10" s="563" t="s">
        <v>239</v>
      </c>
      <c r="G10" s="1"/>
      <c r="H10" s="1"/>
      <c r="I10" s="1"/>
      <c r="J10" s="1"/>
      <c r="K10" s="1"/>
    </row>
    <row r="11" spans="1:11" ht="12.75">
      <c r="A11" s="1"/>
      <c r="B11" s="1"/>
      <c r="C11" s="1"/>
      <c r="D11" s="511" t="s">
        <v>240</v>
      </c>
      <c r="E11" s="516" t="str">
        <f>IF(ISBLANK(Sieve),"REQUIRED VALUE",Sieve&amp;" mm")</f>
        <v>19 mm</v>
      </c>
      <c r="F11" s="563" t="s">
        <v>241</v>
      </c>
      <c r="G11" s="1"/>
      <c r="H11" s="1"/>
      <c r="I11" s="1"/>
      <c r="J11" s="1"/>
      <c r="K11" s="1"/>
    </row>
    <row r="12" spans="1:11" ht="12.75">
      <c r="A12" s="1"/>
      <c r="B12" s="1"/>
      <c r="C12" s="1"/>
      <c r="D12" s="511" t="s">
        <v>242</v>
      </c>
      <c r="E12" s="516">
        <f>IF(ISBLANK(ESALS),"REQUIRED VALUE",ESALS)</f>
        <v>0.3</v>
      </c>
      <c r="F12" s="563" t="s">
        <v>243</v>
      </c>
      <c r="G12" s="1"/>
      <c r="H12" s="1"/>
      <c r="I12" s="1"/>
      <c r="J12" s="1"/>
      <c r="K12" s="1"/>
    </row>
    <row r="13" spans="1:11" ht="12.75">
      <c r="A13" s="1"/>
      <c r="B13" s="1"/>
      <c r="C13" s="1"/>
      <c r="D13" s="511"/>
      <c r="E13" s="516"/>
      <c r="F13" s="512"/>
      <c r="G13" s="1"/>
      <c r="H13" s="1"/>
      <c r="I13" s="1"/>
      <c r="J13" s="1"/>
      <c r="K13" s="1"/>
    </row>
    <row r="14" spans="1:11" ht="12.75">
      <c r="A14" s="1"/>
      <c r="B14" s="1"/>
      <c r="C14" s="1"/>
      <c r="D14" s="511"/>
      <c r="E14" s="516"/>
      <c r="F14" s="512"/>
      <c r="G14" s="1"/>
      <c r="H14" s="1"/>
      <c r="I14" s="1"/>
      <c r="J14" s="1"/>
      <c r="K14" s="1"/>
    </row>
    <row r="15" spans="1:11" ht="5.25" customHeight="1">
      <c r="A15" s="1"/>
      <c r="B15" s="1"/>
      <c r="C15" s="1"/>
      <c r="D15" s="30"/>
      <c r="E15" s="494"/>
      <c r="F15" s="1"/>
      <c r="G15" s="1"/>
      <c r="H15" s="1"/>
      <c r="I15" s="1"/>
      <c r="J15" s="1"/>
      <c r="K15" s="1"/>
    </row>
    <row r="16" spans="1:11" ht="4.5" customHeight="1">
      <c r="A16" s="1"/>
      <c r="B16" s="1"/>
      <c r="C16" s="1"/>
      <c r="D16" s="30"/>
      <c r="E16" s="494"/>
      <c r="F16" s="1"/>
      <c r="G16" s="1"/>
      <c r="H16" s="1"/>
      <c r="I16" s="1"/>
      <c r="J16" s="1"/>
      <c r="K16" s="1"/>
    </row>
    <row r="17" spans="1:11" ht="38.25" customHeight="1">
      <c r="A17" s="1"/>
      <c r="B17" s="1"/>
      <c r="C17" s="1"/>
      <c r="D17" s="519" t="s">
        <v>244</v>
      </c>
      <c r="E17" s="520"/>
      <c r="F17" s="1"/>
      <c r="G17" s="1"/>
      <c r="H17" s="1"/>
      <c r="I17" s="1"/>
      <c r="J17" s="1"/>
      <c r="K17" s="1"/>
    </row>
    <row r="18" spans="1:11" ht="12.75">
      <c r="A18" s="1"/>
      <c r="B18" s="1"/>
      <c r="C18" s="1"/>
      <c r="D18" s="518" t="s">
        <v>232</v>
      </c>
      <c r="E18" s="518" t="s">
        <v>233</v>
      </c>
      <c r="F18" s="1"/>
      <c r="G18" s="1"/>
      <c r="H18" s="1"/>
      <c r="I18" s="1"/>
      <c r="J18" s="1"/>
      <c r="K18" s="1"/>
    </row>
    <row r="19" spans="1:11" ht="12.75">
      <c r="A19" s="1"/>
      <c r="B19" s="1"/>
      <c r="C19" s="1"/>
      <c r="D19" s="511" t="s">
        <v>9</v>
      </c>
      <c r="E19" s="516">
        <f>IF(ISBLANK(Grade),"",Grade)</f>
      </c>
      <c r="F19" s="1"/>
      <c r="G19" s="1"/>
      <c r="H19" s="1"/>
      <c r="I19" s="1"/>
      <c r="J19" s="1"/>
      <c r="K19" s="1"/>
    </row>
    <row r="20" spans="1:11" ht="12.75">
      <c r="A20" s="1"/>
      <c r="B20" s="1"/>
      <c r="C20" s="1"/>
      <c r="D20" s="511" t="s">
        <v>11</v>
      </c>
      <c r="E20" s="516">
        <f>IF(ISBLANK(CompacTemp),"",CompacTemp&amp;" C")</f>
      </c>
      <c r="F20" s="1"/>
      <c r="G20" s="1"/>
      <c r="H20" s="1"/>
      <c r="I20" s="1"/>
      <c r="J20" s="1"/>
      <c r="K20" s="1"/>
    </row>
    <row r="21" spans="1:11" ht="12.75">
      <c r="A21" s="1"/>
      <c r="B21" s="1"/>
      <c r="C21" s="1"/>
      <c r="D21" s="511" t="s">
        <v>15</v>
      </c>
      <c r="E21" s="516">
        <f>IF(ISBLANK(MixTemp),"",MixTemp&amp;" C")</f>
      </c>
      <c r="F21" s="1"/>
      <c r="G21" s="1"/>
      <c r="H21" s="1"/>
      <c r="I21" s="1"/>
      <c r="J21" s="1"/>
      <c r="K21" s="1"/>
    </row>
    <row r="22" spans="1:11" ht="12.75">
      <c r="A22" s="1"/>
      <c r="B22" s="1"/>
      <c r="C22" s="1"/>
      <c r="D22" s="511" t="s">
        <v>245</v>
      </c>
      <c r="E22" s="516">
        <f>IF(ISBLANK(Temperature),"",Temperature&amp;" C")</f>
      </c>
      <c r="F22" s="1"/>
      <c r="G22" s="1"/>
      <c r="H22" s="1"/>
      <c r="I22" s="1"/>
      <c r="J22" s="1"/>
      <c r="K22" s="1"/>
    </row>
    <row r="23" spans="1:11" ht="12.75">
      <c r="A23" s="1"/>
      <c r="B23" s="1"/>
      <c r="C23" s="1"/>
      <c r="D23" s="511"/>
      <c r="E23" s="516"/>
      <c r="F23" s="1"/>
      <c r="G23" s="1"/>
      <c r="H23" s="1"/>
      <c r="I23" s="1"/>
      <c r="J23" s="1"/>
      <c r="K23" s="1"/>
    </row>
    <row r="24" spans="1:11" ht="12.75">
      <c r="A24" s="1"/>
      <c r="B24" s="1"/>
      <c r="C24" s="1"/>
      <c r="D24" s="511" t="s">
        <v>246</v>
      </c>
      <c r="E24" s="512" t="str">
        <f>CHOOSE(CalculatedMode,"Bowl","Direct Entry","Flask")</f>
        <v>Direct Entry</v>
      </c>
      <c r="F24" s="1"/>
      <c r="G24" s="1"/>
      <c r="H24" s="1"/>
      <c r="I24" s="1"/>
      <c r="J24" s="1"/>
      <c r="K24" s="1"/>
    </row>
    <row r="25" spans="1:11" ht="12.75">
      <c r="A25" s="1"/>
      <c r="B25" s="1"/>
      <c r="C25" s="1"/>
      <c r="D25" s="511" t="s">
        <v>247</v>
      </c>
      <c r="E25" s="512" t="str">
        <f>CHOOSE(CalculatedGmb,"Calculated","Direct Entry")</f>
        <v>Direct Entry</v>
      </c>
      <c r="F25" s="1"/>
      <c r="G25" s="1"/>
      <c r="H25" s="1"/>
      <c r="I25" s="1"/>
      <c r="J25" s="1"/>
      <c r="K25" s="1"/>
    </row>
    <row r="26" spans="1:11" ht="12.75">
      <c r="A26" s="1"/>
      <c r="B26" s="1"/>
      <c r="C26" s="1"/>
      <c r="D26" s="511" t="s">
        <v>248</v>
      </c>
      <c r="E26" s="512" t="str">
        <f>IF(ISBLANK(Depth),"",Depth&amp;" mm")</f>
        <v>30 mm</v>
      </c>
      <c r="F26" s="1"/>
      <c r="G26" s="1"/>
      <c r="H26" s="1"/>
      <c r="I26" s="1"/>
      <c r="J26" s="1"/>
      <c r="K26" s="1"/>
    </row>
    <row r="27" spans="1:11" ht="12.75">
      <c r="A27" s="1"/>
      <c r="B27" s="1"/>
      <c r="C27" s="1"/>
      <c r="D27" s="517"/>
      <c r="E27" s="517"/>
      <c r="F27" s="1"/>
      <c r="G27" s="1"/>
      <c r="H27" s="1"/>
      <c r="I27" s="1"/>
      <c r="J27" s="1"/>
      <c r="K27" s="1"/>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1:11" ht="12.75">
      <c r="A32" s="1"/>
      <c r="B32" s="1"/>
      <c r="C32" s="1"/>
      <c r="D32" s="1"/>
      <c r="E32" s="1"/>
      <c r="F32" s="1"/>
      <c r="G32" s="1"/>
      <c r="H32" s="1"/>
      <c r="I32" s="1"/>
      <c r="J32" s="1"/>
      <c r="K32" s="1"/>
    </row>
  </sheetData>
  <sheetProtection sheet="1" objects="1" scenarios="1"/>
  <printOption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B1">
      <selection activeCell="A1" sqref="A1"/>
    </sheetView>
  </sheetViews>
  <sheetFormatPr defaultColWidth="0.9921875" defaultRowHeight="5.25" customHeight="1"/>
  <sheetData/>
  <sheetProtection sheet="1" objects="1" scenarios="1"/>
  <printOptions/>
  <pageMargins left="0.75" right="0.75" top="1" bottom="1" header="0.5" footer="0.5"/>
  <pageSetup orientation="portrait" r:id="rId2"/>
  <headerFooter alignWithMargins="0">
    <oddHeader>&amp;C&amp;A</oddHeader>
    <oddFooter>&amp;CPage &amp;P</oddFooter>
  </headerFooter>
  <legacyDrawing r:id="rId1"/>
</worksheet>
</file>

<file path=xl/worksheets/sheet18.xml><?xml version="1.0" encoding="utf-8"?>
<worksheet xmlns="http://schemas.openxmlformats.org/spreadsheetml/2006/main" xmlns:r="http://schemas.openxmlformats.org/officeDocument/2006/relationships">
  <sheetPr codeName="Sheet17"/>
  <dimension ref="A1:I42"/>
  <sheetViews>
    <sheetView workbookViewId="0" topLeftCell="A1">
      <selection activeCell="D9" sqref="D9"/>
    </sheetView>
  </sheetViews>
  <sheetFormatPr defaultColWidth="9.140625" defaultRowHeight="12.75"/>
  <cols>
    <col min="1" max="1" width="3.8515625" style="0" customWidth="1"/>
    <col min="2" max="2" width="16.140625" style="0" customWidth="1"/>
    <col min="6" max="6" width="16.28125" style="0" customWidth="1"/>
  </cols>
  <sheetData>
    <row r="1" spans="1:9" ht="12.75">
      <c r="A1" s="495"/>
      <c r="B1" s="312"/>
      <c r="C1" s="312"/>
      <c r="D1" s="312"/>
      <c r="E1" s="312"/>
      <c r="F1" s="312"/>
      <c r="G1" s="312"/>
      <c r="H1" s="312"/>
      <c r="I1" s="496"/>
    </row>
    <row r="2" spans="1:9" ht="12.75">
      <c r="A2" s="165"/>
      <c r="B2" s="2"/>
      <c r="C2" s="2"/>
      <c r="D2" s="2"/>
      <c r="E2" s="2"/>
      <c r="F2" s="2"/>
      <c r="G2" s="2"/>
      <c r="H2" s="2"/>
      <c r="I2" s="163"/>
    </row>
    <row r="3" spans="1:9" ht="12.75">
      <c r="A3" s="165"/>
      <c r="B3" s="2" t="s">
        <v>249</v>
      </c>
      <c r="C3" s="2"/>
      <c r="D3" s="2"/>
      <c r="E3" s="2"/>
      <c r="F3" s="2"/>
      <c r="G3" s="2"/>
      <c r="H3" s="2"/>
      <c r="I3" s="163"/>
    </row>
    <row r="4" spans="1:9" ht="12.75">
      <c r="A4" s="165"/>
      <c r="B4" s="2" t="s">
        <v>250</v>
      </c>
      <c r="C4" s="2"/>
      <c r="D4" s="2"/>
      <c r="E4" s="2"/>
      <c r="F4" s="2"/>
      <c r="G4" s="2"/>
      <c r="H4" s="2"/>
      <c r="I4" s="163"/>
    </row>
    <row r="5" spans="1:9" ht="12.75">
      <c r="A5" s="165"/>
      <c r="B5" s="2"/>
      <c r="C5" s="2"/>
      <c r="D5" s="2"/>
      <c r="E5" s="2"/>
      <c r="F5" s="2"/>
      <c r="G5" s="2"/>
      <c r="H5" s="2"/>
      <c r="I5" s="163"/>
    </row>
    <row r="6" spans="1:9" ht="12.75">
      <c r="A6" s="165"/>
      <c r="B6" s="2"/>
      <c r="C6" s="2"/>
      <c r="D6" s="2"/>
      <c r="E6" s="2"/>
      <c r="F6" s="2"/>
      <c r="G6" s="2"/>
      <c r="H6" s="2"/>
      <c r="I6" s="163"/>
    </row>
    <row r="7" spans="1:9" ht="12.75">
      <c r="A7" s="165"/>
      <c r="B7" s="497" t="s">
        <v>251</v>
      </c>
      <c r="C7" s="498"/>
      <c r="D7" s="499"/>
      <c r="E7" s="2"/>
      <c r="F7" s="497" t="s">
        <v>252</v>
      </c>
      <c r="G7" s="498"/>
      <c r="H7" s="499"/>
      <c r="I7" s="163"/>
    </row>
    <row r="8" spans="1:9" ht="12.75">
      <c r="A8" s="165"/>
      <c r="B8" s="84"/>
      <c r="C8" s="500" t="s">
        <v>117</v>
      </c>
      <c r="D8" s="500" t="s">
        <v>118</v>
      </c>
      <c r="E8" s="2"/>
      <c r="F8" s="84"/>
      <c r="G8" s="500" t="s">
        <v>117</v>
      </c>
      <c r="H8" s="500" t="s">
        <v>118</v>
      </c>
      <c r="I8" s="163"/>
    </row>
    <row r="9" spans="1:9" ht="12.75">
      <c r="A9" s="165"/>
      <c r="B9" s="501" t="s">
        <v>253</v>
      </c>
      <c r="C9" s="450">
        <v>80</v>
      </c>
      <c r="D9" s="450">
        <v>100</v>
      </c>
      <c r="E9" s="2"/>
      <c r="F9" s="501" t="s">
        <v>254</v>
      </c>
      <c r="G9" s="450">
        <v>0</v>
      </c>
      <c r="H9" s="450">
        <v>8</v>
      </c>
      <c r="I9" s="163"/>
    </row>
    <row r="10" spans="1:9" ht="12.75">
      <c r="A10" s="165"/>
      <c r="B10" s="501" t="s">
        <v>255</v>
      </c>
      <c r="C10" s="502" t="s">
        <v>256</v>
      </c>
      <c r="D10" s="502" t="s">
        <v>256</v>
      </c>
      <c r="E10" s="2"/>
      <c r="F10" s="501" t="s">
        <v>120</v>
      </c>
      <c r="G10" s="450">
        <v>3.5</v>
      </c>
      <c r="H10" s="450">
        <v>7</v>
      </c>
      <c r="I10" s="163"/>
    </row>
    <row r="11" spans="1:9" ht="12.75">
      <c r="A11" s="165"/>
      <c r="B11" s="2"/>
      <c r="C11" s="2"/>
      <c r="D11" s="2"/>
      <c r="E11" s="2"/>
      <c r="F11" s="2"/>
      <c r="G11" s="2"/>
      <c r="H11" s="2"/>
      <c r="I11" s="163"/>
    </row>
    <row r="12" spans="1:9" ht="12.75">
      <c r="A12" s="165"/>
      <c r="B12" s="2"/>
      <c r="C12" s="2"/>
      <c r="D12" s="2"/>
      <c r="E12" s="2"/>
      <c r="F12" s="2"/>
      <c r="G12" s="2"/>
      <c r="H12" s="2"/>
      <c r="I12" s="163"/>
    </row>
    <row r="13" spans="1:9" ht="12.75">
      <c r="A13" s="165"/>
      <c r="B13" s="497" t="s">
        <v>131</v>
      </c>
      <c r="C13" s="498"/>
      <c r="D13" s="499"/>
      <c r="E13" s="2"/>
      <c r="F13" s="497" t="s">
        <v>133</v>
      </c>
      <c r="G13" s="498"/>
      <c r="H13" s="499"/>
      <c r="I13" s="163"/>
    </row>
    <row r="14" spans="1:9" ht="12.75">
      <c r="A14" s="165"/>
      <c r="B14" s="84"/>
      <c r="C14" s="500" t="s">
        <v>117</v>
      </c>
      <c r="D14" s="500" t="s">
        <v>118</v>
      </c>
      <c r="E14" s="2"/>
      <c r="F14" s="84"/>
      <c r="G14" s="500" t="s">
        <v>117</v>
      </c>
      <c r="H14" s="500" t="s">
        <v>118</v>
      </c>
      <c r="I14" s="163"/>
    </row>
    <row r="15" spans="1:9" ht="12.75">
      <c r="A15" s="165"/>
      <c r="B15" s="501" t="s">
        <v>254</v>
      </c>
      <c r="C15" s="450">
        <v>10</v>
      </c>
      <c r="D15" s="450">
        <v>15</v>
      </c>
      <c r="E15" s="2"/>
      <c r="F15" s="501" t="s">
        <v>254</v>
      </c>
      <c r="G15" s="450">
        <v>50</v>
      </c>
      <c r="H15" s="450">
        <v>100</v>
      </c>
      <c r="I15" s="163"/>
    </row>
    <row r="16" spans="1:9" ht="12.75">
      <c r="A16" s="165"/>
      <c r="B16" s="501" t="s">
        <v>120</v>
      </c>
      <c r="C16" s="54">
        <f>$G$10</f>
        <v>3.5</v>
      </c>
      <c r="D16" s="54">
        <f>$H$10</f>
        <v>7</v>
      </c>
      <c r="E16" s="2"/>
      <c r="F16" s="501" t="s">
        <v>120</v>
      </c>
      <c r="G16" s="54">
        <f>$G$10</f>
        <v>3.5</v>
      </c>
      <c r="H16" s="54">
        <f>$H$10</f>
        <v>7</v>
      </c>
      <c r="I16" s="163"/>
    </row>
    <row r="17" spans="1:9" ht="12.75">
      <c r="A17" s="165"/>
      <c r="B17" s="2"/>
      <c r="C17" s="2"/>
      <c r="D17" s="2"/>
      <c r="E17" s="2"/>
      <c r="F17" s="2"/>
      <c r="G17" s="2"/>
      <c r="H17" s="2"/>
      <c r="I17" s="163"/>
    </row>
    <row r="18" spans="1:9" ht="12.75">
      <c r="A18" s="165"/>
      <c r="B18" s="2"/>
      <c r="C18" s="2"/>
      <c r="D18" s="2"/>
      <c r="E18" s="2"/>
      <c r="F18" s="2"/>
      <c r="G18" s="2"/>
      <c r="H18" s="2"/>
      <c r="I18" s="163"/>
    </row>
    <row r="19" spans="1:9" ht="12.75">
      <c r="A19" s="165"/>
      <c r="B19" s="497" t="s">
        <v>257</v>
      </c>
      <c r="C19" s="498"/>
      <c r="D19" s="499"/>
      <c r="E19" s="2"/>
      <c r="F19" s="497" t="s">
        <v>258</v>
      </c>
      <c r="G19" s="498"/>
      <c r="H19" s="499"/>
      <c r="I19" s="163"/>
    </row>
    <row r="20" spans="1:9" ht="12.75">
      <c r="A20" s="165"/>
      <c r="B20" s="84"/>
      <c r="C20" s="500" t="s">
        <v>117</v>
      </c>
      <c r="D20" s="500" t="s">
        <v>118</v>
      </c>
      <c r="E20" s="2"/>
      <c r="F20" s="84"/>
      <c r="G20" s="500" t="s">
        <v>117</v>
      </c>
      <c r="H20" s="500" t="s">
        <v>118</v>
      </c>
      <c r="I20" s="163"/>
    </row>
    <row r="21" spans="1:9" ht="12.75">
      <c r="A21" s="165"/>
      <c r="B21" s="501" t="s">
        <v>254</v>
      </c>
      <c r="C21" s="450">
        <v>82</v>
      </c>
      <c r="D21" s="450">
        <v>92</v>
      </c>
      <c r="E21" s="2"/>
      <c r="F21" s="501" t="s">
        <v>254</v>
      </c>
      <c r="G21" s="450">
        <v>94</v>
      </c>
      <c r="H21" s="450">
        <v>100</v>
      </c>
      <c r="I21" s="163"/>
    </row>
    <row r="22" spans="1:9" ht="12.75">
      <c r="A22" s="165"/>
      <c r="B22" s="501" t="s">
        <v>120</v>
      </c>
      <c r="C22" s="54">
        <f>$G$10</f>
        <v>3.5</v>
      </c>
      <c r="D22" s="54">
        <f>$H$10</f>
        <v>7</v>
      </c>
      <c r="E22" s="2"/>
      <c r="F22" s="501" t="s">
        <v>120</v>
      </c>
      <c r="G22" s="54">
        <f>$G$10</f>
        <v>3.5</v>
      </c>
      <c r="H22" s="54">
        <f>$H$10</f>
        <v>7</v>
      </c>
      <c r="I22" s="163"/>
    </row>
    <row r="23" spans="1:9" ht="12.75">
      <c r="A23" s="165"/>
      <c r="B23" s="2"/>
      <c r="C23" s="2"/>
      <c r="D23" s="2"/>
      <c r="E23" s="2"/>
      <c r="F23" s="2"/>
      <c r="G23" s="2"/>
      <c r="H23" s="2"/>
      <c r="I23" s="163"/>
    </row>
    <row r="24" spans="1:9" ht="12.75">
      <c r="A24" s="165"/>
      <c r="B24" s="2"/>
      <c r="C24" s="2"/>
      <c r="D24" s="2"/>
      <c r="E24" s="2"/>
      <c r="F24" s="2"/>
      <c r="G24" s="2"/>
      <c r="H24" s="2"/>
      <c r="I24" s="163"/>
    </row>
    <row r="25" spans="1:9" ht="12.75">
      <c r="A25" s="165"/>
      <c r="B25" s="497" t="s">
        <v>259</v>
      </c>
      <c r="C25" s="498"/>
      <c r="D25" s="499"/>
      <c r="E25" s="2"/>
      <c r="F25" s="497" t="s">
        <v>182</v>
      </c>
      <c r="G25" s="498"/>
      <c r="H25" s="499"/>
      <c r="I25" s="163"/>
    </row>
    <row r="26" spans="1:9" ht="12.75">
      <c r="A26" s="165"/>
      <c r="B26" s="84"/>
      <c r="C26" s="500" t="s">
        <v>117</v>
      </c>
      <c r="D26" s="500" t="s">
        <v>118</v>
      </c>
      <c r="E26" s="2"/>
      <c r="F26" s="84"/>
      <c r="G26" s="500" t="s">
        <v>117</v>
      </c>
      <c r="H26" s="500" t="s">
        <v>118</v>
      </c>
      <c r="I26" s="163"/>
    </row>
    <row r="27" spans="1:9" ht="12.75">
      <c r="A27" s="165"/>
      <c r="B27" s="501" t="s">
        <v>254</v>
      </c>
      <c r="C27" s="450">
        <v>2300</v>
      </c>
      <c r="D27" s="450">
        <v>2500</v>
      </c>
      <c r="E27" s="2"/>
      <c r="F27" s="501" t="s">
        <v>254</v>
      </c>
      <c r="G27" s="450">
        <v>0.4</v>
      </c>
      <c r="H27" s="450">
        <v>2</v>
      </c>
      <c r="I27" s="163"/>
    </row>
    <row r="28" spans="1:9" ht="12.75">
      <c r="A28" s="165"/>
      <c r="B28" s="501" t="s">
        <v>120</v>
      </c>
      <c r="C28" s="54">
        <f>$G$10</f>
        <v>3.5</v>
      </c>
      <c r="D28" s="54">
        <f>$H$10</f>
        <v>7</v>
      </c>
      <c r="E28" s="2"/>
      <c r="F28" s="501" t="s">
        <v>120</v>
      </c>
      <c r="G28" s="54">
        <f>$G$10</f>
        <v>3.5</v>
      </c>
      <c r="H28" s="54">
        <f>$H$10</f>
        <v>7</v>
      </c>
      <c r="I28" s="163"/>
    </row>
    <row r="29" spans="1:9" ht="12.75">
      <c r="A29" s="165"/>
      <c r="B29" s="2"/>
      <c r="C29" s="2"/>
      <c r="D29" s="2"/>
      <c r="E29" s="2"/>
      <c r="F29" s="2"/>
      <c r="G29" s="2"/>
      <c r="H29" s="2"/>
      <c r="I29" s="163"/>
    </row>
    <row r="30" spans="1:9" ht="13.5" thickBot="1">
      <c r="A30" s="166"/>
      <c r="B30" s="167"/>
      <c r="C30" s="167"/>
      <c r="D30" s="167"/>
      <c r="E30" s="167"/>
      <c r="F30" s="167"/>
      <c r="G30" s="167"/>
      <c r="H30" s="167"/>
      <c r="I30" s="168"/>
    </row>
    <row r="32" ht="12.75" hidden="1"/>
    <row r="33" spans="3:4" ht="12.75" hidden="1">
      <c r="C33" s="85" t="s">
        <v>260</v>
      </c>
      <c r="D33" s="85"/>
    </row>
    <row r="34" spans="2:4" ht="12.75" hidden="1">
      <c r="B34" s="84" t="s">
        <v>79</v>
      </c>
      <c r="C34" s="214">
        <v>80</v>
      </c>
      <c r="D34" s="214">
        <v>100</v>
      </c>
    </row>
    <row r="35" spans="2:4" ht="12.75" hidden="1">
      <c r="B35" s="84" t="s">
        <v>252</v>
      </c>
      <c r="C35" s="214">
        <v>0</v>
      </c>
      <c r="D35" s="214">
        <v>8</v>
      </c>
    </row>
    <row r="36" spans="2:4" ht="12.75" hidden="1">
      <c r="B36" s="84" t="s">
        <v>131</v>
      </c>
      <c r="C36" s="214">
        <v>10</v>
      </c>
      <c r="D36" s="214">
        <v>15</v>
      </c>
    </row>
    <row r="37" spans="2:4" ht="12.75" hidden="1">
      <c r="B37" s="84" t="s">
        <v>133</v>
      </c>
      <c r="C37" s="214">
        <v>50</v>
      </c>
      <c r="D37" s="214">
        <v>100</v>
      </c>
    </row>
    <row r="38" spans="2:4" ht="12.75" hidden="1">
      <c r="B38" s="84" t="s">
        <v>261</v>
      </c>
      <c r="C38" s="214">
        <v>82</v>
      </c>
      <c r="D38" s="214">
        <v>92</v>
      </c>
    </row>
    <row r="39" spans="2:4" ht="12.75" hidden="1">
      <c r="B39" s="84" t="s">
        <v>262</v>
      </c>
      <c r="C39" s="214">
        <v>94</v>
      </c>
      <c r="D39" s="214">
        <v>100</v>
      </c>
    </row>
    <row r="40" spans="2:4" ht="12.75" hidden="1">
      <c r="B40" s="84" t="s">
        <v>259</v>
      </c>
      <c r="C40" s="214">
        <v>2300</v>
      </c>
      <c r="D40" s="214">
        <v>2500</v>
      </c>
    </row>
    <row r="41" spans="2:4" ht="12.75" hidden="1">
      <c r="B41" s="84" t="s">
        <v>182</v>
      </c>
      <c r="C41" s="214">
        <v>0.4</v>
      </c>
      <c r="D41" s="214">
        <v>2</v>
      </c>
    </row>
    <row r="42" spans="2:4" ht="12.75" hidden="1">
      <c r="B42" s="84" t="s">
        <v>263</v>
      </c>
      <c r="C42" s="214">
        <v>3.5</v>
      </c>
      <c r="D42" s="214">
        <v>7</v>
      </c>
    </row>
    <row r="43" ht="12.75" hidden="1"/>
  </sheetData>
  <sheetProtection sheet="1" objects="1" scenarios="1"/>
  <printOptions/>
  <pageMargins left="0.75" right="0.75" top="1" bottom="1" header="0.5" footer="0.5"/>
  <pageSetup orientation="portrait" r:id="rId2"/>
  <legacyDrawing r:id="rId1"/>
</worksheet>
</file>

<file path=xl/worksheets/sheet19.xml><?xml version="1.0" encoding="utf-8"?>
<worksheet xmlns="http://schemas.openxmlformats.org/spreadsheetml/2006/main" xmlns:r="http://schemas.openxmlformats.org/officeDocument/2006/relationships">
  <sheetPr codeName="Sheet18"/>
  <dimension ref="A1:Q43"/>
  <sheetViews>
    <sheetView showGridLines="0" workbookViewId="0" topLeftCell="A1">
      <selection activeCell="A1" sqref="A1"/>
    </sheetView>
  </sheetViews>
  <sheetFormatPr defaultColWidth="9.140625" defaultRowHeight="12.75"/>
  <cols>
    <col min="2" max="2" width="9.7109375" style="0" customWidth="1"/>
    <col min="4" max="4" width="5.8515625" style="0" customWidth="1"/>
    <col min="6" max="6" width="10.57421875" style="0" customWidth="1"/>
    <col min="10" max="10" width="6.57421875" style="0" customWidth="1"/>
  </cols>
  <sheetData>
    <row r="1" spans="6:17" ht="12.75">
      <c r="F1" s="83"/>
      <c r="G1" s="537"/>
      <c r="H1" s="537"/>
      <c r="I1" s="537"/>
      <c r="J1" s="537"/>
      <c r="K1" s="83"/>
      <c r="L1" s="83"/>
      <c r="M1" s="83"/>
      <c r="N1" s="83"/>
      <c r="O1" s="83"/>
      <c r="P1" s="83"/>
      <c r="Q1" s="83"/>
    </row>
    <row r="2" spans="6:17" ht="12.75">
      <c r="F2" s="83"/>
      <c r="G2" s="537"/>
      <c r="H2" s="537"/>
      <c r="I2" s="537"/>
      <c r="J2" s="537"/>
      <c r="K2" s="83"/>
      <c r="L2" s="83"/>
      <c r="M2" s="83"/>
      <c r="N2" s="83"/>
      <c r="O2" s="83"/>
      <c r="P2" s="83"/>
      <c r="Q2" s="83"/>
    </row>
    <row r="3" spans="6:17" ht="12.75">
      <c r="F3" s="83"/>
      <c r="G3" s="537"/>
      <c r="H3" s="537"/>
      <c r="I3" s="537"/>
      <c r="J3" s="537"/>
      <c r="K3" s="83"/>
      <c r="L3" s="83"/>
      <c r="M3" s="83"/>
      <c r="N3" s="83"/>
      <c r="O3" s="83"/>
      <c r="P3" s="83"/>
      <c r="Q3" s="83"/>
    </row>
    <row r="4" spans="6:17" ht="12" customHeight="1">
      <c r="F4" s="83"/>
      <c r="G4" s="537"/>
      <c r="H4" s="537"/>
      <c r="I4" s="537"/>
      <c r="J4" s="537"/>
      <c r="K4" s="83"/>
      <c r="L4" s="83"/>
      <c r="M4" s="83"/>
      <c r="N4" s="83"/>
      <c r="O4" s="83"/>
      <c r="P4" s="83"/>
      <c r="Q4" s="83"/>
    </row>
    <row r="5" spans="6:17" ht="12.75">
      <c r="F5" s="83"/>
      <c r="G5" s="537"/>
      <c r="H5" s="537"/>
      <c r="I5" s="537"/>
      <c r="J5" s="537"/>
      <c r="K5" s="83"/>
      <c r="L5" s="83"/>
      <c r="M5" s="83"/>
      <c r="N5" s="83"/>
      <c r="O5" s="83"/>
      <c r="P5" s="83"/>
      <c r="Q5" s="83"/>
    </row>
    <row r="6" spans="6:17" ht="12.75">
      <c r="F6" s="83"/>
      <c r="G6" s="537"/>
      <c r="H6" s="537"/>
      <c r="I6" s="537"/>
      <c r="J6" s="537"/>
      <c r="K6" s="83"/>
      <c r="L6" s="83"/>
      <c r="M6" s="83"/>
      <c r="N6" s="83"/>
      <c r="O6" s="83"/>
      <c r="P6" s="83"/>
      <c r="Q6" s="83"/>
    </row>
    <row r="7" spans="6:17" ht="12.75">
      <c r="F7" s="83"/>
      <c r="G7" s="109"/>
      <c r="H7" s="109"/>
      <c r="I7" s="109"/>
      <c r="J7" s="109"/>
      <c r="K7" s="83"/>
      <c r="L7" s="83"/>
      <c r="M7" s="83"/>
      <c r="N7" s="83"/>
      <c r="O7" s="83"/>
      <c r="P7" s="83"/>
      <c r="Q7" s="83"/>
    </row>
    <row r="8" spans="1:17" ht="12.75">
      <c r="A8" s="570"/>
      <c r="B8" s="570"/>
      <c r="C8" s="570"/>
      <c r="D8" s="570"/>
      <c r="E8" s="570"/>
      <c r="F8" s="570"/>
      <c r="G8" s="570"/>
      <c r="H8" s="570"/>
      <c r="I8" s="570"/>
      <c r="J8" s="570"/>
      <c r="K8" s="570"/>
      <c r="L8" s="570"/>
      <c r="M8" s="570"/>
      <c r="N8" s="570"/>
      <c r="O8" s="83"/>
      <c r="P8" s="83"/>
      <c r="Q8" s="83"/>
    </row>
    <row r="9" spans="1:17" ht="12.75">
      <c r="A9" s="569" t="s">
        <v>264</v>
      </c>
      <c r="B9" s="570"/>
      <c r="C9" s="570"/>
      <c r="D9" s="570"/>
      <c r="E9" s="570"/>
      <c r="F9" s="570"/>
      <c r="G9" s="570"/>
      <c r="H9" s="570"/>
      <c r="I9" s="570"/>
      <c r="J9" s="570"/>
      <c r="K9" s="570"/>
      <c r="L9" s="570"/>
      <c r="M9" s="570"/>
      <c r="N9" s="588"/>
      <c r="O9" s="83"/>
      <c r="P9" s="83"/>
      <c r="Q9" s="83"/>
    </row>
    <row r="10" spans="1:17" ht="12.75">
      <c r="A10" s="575" t="s">
        <v>265</v>
      </c>
      <c r="B10" s="576" t="s">
        <v>266</v>
      </c>
      <c r="C10" s="577" t="s">
        <v>267</v>
      </c>
      <c r="D10" s="574"/>
      <c r="E10" s="574"/>
      <c r="F10" s="574"/>
      <c r="G10" s="574"/>
      <c r="H10" s="574"/>
      <c r="I10" s="574"/>
      <c r="J10" s="574"/>
      <c r="K10" s="574"/>
      <c r="L10" s="574"/>
      <c r="M10" s="574"/>
      <c r="N10" s="588"/>
      <c r="O10" s="83"/>
      <c r="P10" s="83"/>
      <c r="Q10" s="83"/>
    </row>
    <row r="11" spans="1:17" ht="12.75">
      <c r="A11" s="585" t="s">
        <v>268</v>
      </c>
      <c r="B11" s="578">
        <v>36595</v>
      </c>
      <c r="C11" s="109" t="s">
        <v>269</v>
      </c>
      <c r="D11" s="109"/>
      <c r="E11" s="109"/>
      <c r="F11" s="109"/>
      <c r="G11" s="109"/>
      <c r="H11" s="109"/>
      <c r="I11" s="109"/>
      <c r="J11" s="109"/>
      <c r="K11" s="109"/>
      <c r="L11" s="109"/>
      <c r="M11" s="109"/>
      <c r="N11" s="589"/>
      <c r="O11" s="83"/>
      <c r="P11" s="83"/>
      <c r="Q11" s="83"/>
    </row>
    <row r="12" spans="1:17" ht="12.75">
      <c r="A12" s="586"/>
      <c r="B12" s="579"/>
      <c r="C12" s="570" t="s">
        <v>270</v>
      </c>
      <c r="D12" s="570"/>
      <c r="E12" s="570"/>
      <c r="F12" s="570"/>
      <c r="G12" s="570"/>
      <c r="H12" s="570"/>
      <c r="I12" s="570"/>
      <c r="J12" s="570"/>
      <c r="K12" s="570"/>
      <c r="L12" s="570"/>
      <c r="M12" s="570"/>
      <c r="N12" s="590"/>
      <c r="O12" s="83"/>
      <c r="P12" s="83"/>
      <c r="Q12" s="83"/>
    </row>
    <row r="13" spans="1:17" ht="12.75">
      <c r="A13" s="587" t="s">
        <v>271</v>
      </c>
      <c r="B13" s="580">
        <v>36620</v>
      </c>
      <c r="C13" s="533" t="s">
        <v>272</v>
      </c>
      <c r="D13" s="109"/>
      <c r="E13" s="109"/>
      <c r="F13" s="109"/>
      <c r="G13" s="109"/>
      <c r="H13" s="109"/>
      <c r="I13" s="109"/>
      <c r="J13" s="109"/>
      <c r="K13" s="109"/>
      <c r="L13" s="109"/>
      <c r="M13" s="109"/>
      <c r="N13" s="589"/>
      <c r="O13" s="83"/>
      <c r="P13" s="83"/>
      <c r="Q13" s="83"/>
    </row>
    <row r="14" spans="1:17" ht="12.75">
      <c r="A14" s="583"/>
      <c r="B14" s="581"/>
      <c r="C14" s="533" t="s">
        <v>273</v>
      </c>
      <c r="D14" s="109"/>
      <c r="E14" s="109"/>
      <c r="F14" s="109"/>
      <c r="G14" s="109"/>
      <c r="H14" s="109"/>
      <c r="I14" s="109"/>
      <c r="J14" s="109"/>
      <c r="K14" s="109"/>
      <c r="L14" s="109"/>
      <c r="M14" s="109"/>
      <c r="N14" s="589"/>
      <c r="O14" s="83"/>
      <c r="P14" s="83"/>
      <c r="Q14" s="83"/>
    </row>
    <row r="15" spans="1:17" ht="12.75">
      <c r="A15" s="583"/>
      <c r="B15" s="581"/>
      <c r="C15" t="s">
        <v>274</v>
      </c>
      <c r="D15" s="109"/>
      <c r="E15" s="109"/>
      <c r="F15" s="109"/>
      <c r="G15" s="109"/>
      <c r="H15" s="109"/>
      <c r="I15" s="109"/>
      <c r="J15" s="109"/>
      <c r="K15" s="109"/>
      <c r="L15" s="109"/>
      <c r="M15" s="109"/>
      <c r="N15" s="589"/>
      <c r="O15" s="83"/>
      <c r="P15" s="83"/>
      <c r="Q15" s="83"/>
    </row>
    <row r="16" spans="1:17" ht="12.75">
      <c r="A16" s="583"/>
      <c r="B16" s="581"/>
      <c r="C16" s="533" t="s">
        <v>275</v>
      </c>
      <c r="D16" s="109"/>
      <c r="E16" s="109"/>
      <c r="F16" s="109"/>
      <c r="G16" s="109"/>
      <c r="H16" s="109"/>
      <c r="I16" s="109"/>
      <c r="J16" s="109"/>
      <c r="K16" s="109"/>
      <c r="L16" s="109"/>
      <c r="M16" s="109"/>
      <c r="N16" s="589"/>
      <c r="O16" s="83"/>
      <c r="P16" s="83"/>
      <c r="Q16" s="83"/>
    </row>
    <row r="17" spans="1:17" ht="12.75">
      <c r="A17" s="583"/>
      <c r="B17" s="581"/>
      <c r="C17" s="533" t="s">
        <v>276</v>
      </c>
      <c r="D17" s="109"/>
      <c r="E17" s="109"/>
      <c r="F17" s="109"/>
      <c r="G17" s="109"/>
      <c r="H17" s="109"/>
      <c r="I17" s="109"/>
      <c r="J17" s="109"/>
      <c r="K17" s="109"/>
      <c r="L17" s="109"/>
      <c r="M17" s="109"/>
      <c r="N17" s="589"/>
      <c r="O17" s="83"/>
      <c r="P17" s="83"/>
      <c r="Q17" s="83"/>
    </row>
    <row r="18" spans="1:17" ht="12.75">
      <c r="A18" s="583"/>
      <c r="B18" s="581"/>
      <c r="C18" s="533" t="s">
        <v>277</v>
      </c>
      <c r="D18" s="109"/>
      <c r="E18" s="109"/>
      <c r="F18" s="109"/>
      <c r="G18" s="109"/>
      <c r="H18" s="109"/>
      <c r="I18" s="109"/>
      <c r="J18" s="109"/>
      <c r="K18" s="109"/>
      <c r="L18" s="109"/>
      <c r="M18" s="109"/>
      <c r="N18" s="589"/>
      <c r="O18" s="83"/>
      <c r="P18" s="83"/>
      <c r="Q18" s="83"/>
    </row>
    <row r="19" spans="1:17" ht="12.75">
      <c r="A19" s="583"/>
      <c r="B19" s="581"/>
      <c r="C19" s="533" t="s">
        <v>278</v>
      </c>
      <c r="D19" s="109"/>
      <c r="E19" s="109"/>
      <c r="F19" s="109"/>
      <c r="G19" s="109"/>
      <c r="H19" s="109"/>
      <c r="I19" s="109"/>
      <c r="J19" s="109"/>
      <c r="K19" s="109"/>
      <c r="L19" s="109"/>
      <c r="M19" s="109"/>
      <c r="N19" s="589"/>
      <c r="O19" s="83"/>
      <c r="P19" s="83"/>
      <c r="Q19" s="83"/>
    </row>
    <row r="20" spans="1:17" ht="12.75">
      <c r="A20" s="584"/>
      <c r="B20" s="582"/>
      <c r="C20" s="591" t="s">
        <v>279</v>
      </c>
      <c r="D20" s="570"/>
      <c r="E20" s="570"/>
      <c r="F20" s="570"/>
      <c r="G20" s="570"/>
      <c r="H20" s="570"/>
      <c r="I20" s="570"/>
      <c r="J20" s="570"/>
      <c r="K20" s="570"/>
      <c r="L20" s="570"/>
      <c r="M20" s="570"/>
      <c r="N20" s="590"/>
      <c r="O20" s="83"/>
      <c r="P20" s="83"/>
      <c r="Q20" s="83"/>
    </row>
    <row r="21" spans="1:17" ht="12.75">
      <c r="A21" s="627" t="s">
        <v>280</v>
      </c>
      <c r="B21" s="580">
        <v>36665</v>
      </c>
      <c r="C21" s="616" t="s">
        <v>281</v>
      </c>
      <c r="D21" s="617"/>
      <c r="E21" s="617"/>
      <c r="F21" s="617"/>
      <c r="G21" s="617"/>
      <c r="H21" s="617"/>
      <c r="I21" s="617"/>
      <c r="J21" s="617"/>
      <c r="K21" s="617"/>
      <c r="L21" s="617"/>
      <c r="M21" s="617"/>
      <c r="N21" s="618"/>
      <c r="O21" s="83"/>
      <c r="P21" s="83"/>
      <c r="Q21" s="83"/>
    </row>
    <row r="22" spans="1:17" ht="12.75">
      <c r="A22" s="615"/>
      <c r="B22" s="615"/>
      <c r="C22" s="619" t="s">
        <v>282</v>
      </c>
      <c r="D22" s="109"/>
      <c r="E22" s="109"/>
      <c r="F22" s="109"/>
      <c r="G22" s="109"/>
      <c r="H22" s="109"/>
      <c r="I22" s="109"/>
      <c r="J22" s="109"/>
      <c r="K22" s="109"/>
      <c r="L22" s="109"/>
      <c r="M22" s="109"/>
      <c r="N22" s="589"/>
      <c r="O22" s="83"/>
      <c r="P22" s="83"/>
      <c r="Q22" s="83"/>
    </row>
    <row r="23" spans="1:17" ht="12.75">
      <c r="A23" s="615"/>
      <c r="B23" s="615"/>
      <c r="C23" s="619" t="s">
        <v>283</v>
      </c>
      <c r="D23" s="109"/>
      <c r="E23" s="109"/>
      <c r="F23" s="109"/>
      <c r="G23" s="109"/>
      <c r="H23" s="109"/>
      <c r="I23" s="109"/>
      <c r="J23" s="109"/>
      <c r="K23" s="109"/>
      <c r="L23" s="109"/>
      <c r="M23" s="109"/>
      <c r="N23" s="589"/>
      <c r="O23" s="83"/>
      <c r="P23" s="83"/>
      <c r="Q23" s="83"/>
    </row>
    <row r="24" spans="1:17" ht="12.75">
      <c r="A24" s="615"/>
      <c r="B24" s="615"/>
      <c r="C24" s="619" t="s">
        <v>284</v>
      </c>
      <c r="D24" s="109"/>
      <c r="E24" s="109"/>
      <c r="F24" s="109"/>
      <c r="G24" s="109"/>
      <c r="H24" s="109"/>
      <c r="I24" s="109"/>
      <c r="J24" s="109"/>
      <c r="K24" s="109"/>
      <c r="L24" s="109"/>
      <c r="M24" s="109"/>
      <c r="N24" s="589"/>
      <c r="O24" s="83"/>
      <c r="P24" s="83"/>
      <c r="Q24" s="83"/>
    </row>
    <row r="25" spans="1:17" ht="12.75">
      <c r="A25" s="615"/>
      <c r="B25" s="615"/>
      <c r="C25" s="619" t="s">
        <v>285</v>
      </c>
      <c r="D25" s="109"/>
      <c r="E25" s="109"/>
      <c r="F25" s="109"/>
      <c r="G25" s="109"/>
      <c r="H25" s="109"/>
      <c r="I25" s="109"/>
      <c r="J25" s="109"/>
      <c r="K25" s="109"/>
      <c r="L25" s="109"/>
      <c r="M25" s="109"/>
      <c r="N25" s="589"/>
      <c r="O25" s="83"/>
      <c r="P25" s="83"/>
      <c r="Q25" s="83"/>
    </row>
    <row r="26" spans="1:17" ht="12.75">
      <c r="A26" s="615"/>
      <c r="B26" s="615"/>
      <c r="C26" s="619" t="s">
        <v>286</v>
      </c>
      <c r="D26" s="109"/>
      <c r="E26" s="109"/>
      <c r="F26" s="109"/>
      <c r="G26" s="109"/>
      <c r="H26" s="109"/>
      <c r="I26" s="109"/>
      <c r="J26" s="109"/>
      <c r="K26" s="109"/>
      <c r="L26" s="109"/>
      <c r="M26" s="109"/>
      <c r="N26" s="589"/>
      <c r="O26" s="83"/>
      <c r="P26" s="83"/>
      <c r="Q26" s="83"/>
    </row>
    <row r="27" spans="1:17" ht="12.75">
      <c r="A27" s="615"/>
      <c r="B27" s="615"/>
      <c r="C27" s="619"/>
      <c r="D27" s="109"/>
      <c r="E27" s="109"/>
      <c r="F27" s="109"/>
      <c r="G27" s="109"/>
      <c r="H27" s="109"/>
      <c r="I27" s="109"/>
      <c r="J27" s="109"/>
      <c r="K27" s="109"/>
      <c r="L27" s="109"/>
      <c r="M27" s="109"/>
      <c r="N27" s="589"/>
      <c r="O27" s="83"/>
      <c r="P27" s="83"/>
      <c r="Q27" s="83"/>
    </row>
    <row r="28" spans="1:17" ht="12.75">
      <c r="A28" s="615"/>
      <c r="B28" s="615"/>
      <c r="C28" s="619" t="s">
        <v>287</v>
      </c>
      <c r="D28" s="109"/>
      <c r="E28" s="109"/>
      <c r="F28" s="109"/>
      <c r="G28" s="109"/>
      <c r="H28" s="109"/>
      <c r="I28" s="109"/>
      <c r="J28" s="109"/>
      <c r="K28" s="109"/>
      <c r="L28" s="109"/>
      <c r="M28" s="109"/>
      <c r="N28" s="589"/>
      <c r="O28" s="83"/>
      <c r="P28" s="83"/>
      <c r="Q28" s="83"/>
    </row>
    <row r="29" spans="1:17" ht="12.75">
      <c r="A29" s="615"/>
      <c r="B29" s="615"/>
      <c r="C29" s="619" t="s">
        <v>288</v>
      </c>
      <c r="D29" s="109"/>
      <c r="E29" s="109"/>
      <c r="F29" s="109"/>
      <c r="G29" s="109"/>
      <c r="H29" s="109"/>
      <c r="I29" s="109"/>
      <c r="J29" s="109"/>
      <c r="K29" s="109"/>
      <c r="L29" s="109"/>
      <c r="M29" s="109"/>
      <c r="N29" s="589"/>
      <c r="O29" s="83"/>
      <c r="P29" s="83"/>
      <c r="Q29" s="83"/>
    </row>
    <row r="30" spans="1:17" ht="12.75">
      <c r="A30" s="581"/>
      <c r="B30" s="581"/>
      <c r="C30" s="620"/>
      <c r="D30" s="533"/>
      <c r="E30" s="533"/>
      <c r="F30" s="109"/>
      <c r="G30" s="109"/>
      <c r="H30" s="109"/>
      <c r="I30" s="109"/>
      <c r="J30" s="109"/>
      <c r="K30" s="109"/>
      <c r="L30" s="109"/>
      <c r="M30" s="109"/>
      <c r="N30" s="589"/>
      <c r="O30" s="83"/>
      <c r="P30" s="83"/>
      <c r="Q30" s="83"/>
    </row>
    <row r="31" spans="1:17" ht="12.75">
      <c r="A31" s="581"/>
      <c r="B31" s="581"/>
      <c r="C31" s="620" t="s">
        <v>289</v>
      </c>
      <c r="D31" s="533"/>
      <c r="E31" s="533"/>
      <c r="F31" s="109"/>
      <c r="G31" s="109"/>
      <c r="H31" s="109"/>
      <c r="I31" s="109"/>
      <c r="J31" s="109"/>
      <c r="K31" s="109"/>
      <c r="L31" s="109"/>
      <c r="M31" s="109"/>
      <c r="N31" s="589"/>
      <c r="O31" s="83"/>
      <c r="P31" s="83"/>
      <c r="Q31" s="83"/>
    </row>
    <row r="32" spans="1:17" ht="12.75">
      <c r="A32" s="581"/>
      <c r="B32" s="581"/>
      <c r="C32" s="620" t="s">
        <v>290</v>
      </c>
      <c r="D32" s="533"/>
      <c r="E32" s="533"/>
      <c r="F32" s="109"/>
      <c r="G32" s="109"/>
      <c r="H32" s="109"/>
      <c r="I32" s="109"/>
      <c r="J32" s="109"/>
      <c r="K32" s="109"/>
      <c r="L32" s="109"/>
      <c r="M32" s="109"/>
      <c r="N32" s="589"/>
      <c r="O32" s="83"/>
      <c r="P32" s="83"/>
      <c r="Q32" s="83"/>
    </row>
    <row r="33" spans="1:17" ht="12.75">
      <c r="A33" s="581"/>
      <c r="B33" s="581"/>
      <c r="C33" s="620"/>
      <c r="D33" s="533"/>
      <c r="E33" s="533"/>
      <c r="F33" s="109"/>
      <c r="G33" s="109"/>
      <c r="H33" s="109"/>
      <c r="I33" s="109"/>
      <c r="J33" s="109"/>
      <c r="K33" s="109"/>
      <c r="L33" s="109"/>
      <c r="M33" s="109"/>
      <c r="N33" s="589"/>
      <c r="O33" s="83"/>
      <c r="P33" s="83"/>
      <c r="Q33" s="83"/>
    </row>
    <row r="34" spans="1:14" ht="12.75">
      <c r="A34" s="581"/>
      <c r="B34" s="581"/>
      <c r="C34" s="620" t="s">
        <v>291</v>
      </c>
      <c r="D34" s="533"/>
      <c r="E34" s="533"/>
      <c r="F34" s="533"/>
      <c r="G34" s="533"/>
      <c r="H34" s="533"/>
      <c r="I34" s="533"/>
      <c r="J34" s="533"/>
      <c r="K34" s="533"/>
      <c r="L34" s="533"/>
      <c r="M34" s="533"/>
      <c r="N34" s="621"/>
    </row>
    <row r="35" spans="1:14" ht="12.75">
      <c r="A35" s="581"/>
      <c r="B35" s="581"/>
      <c r="C35" s="620" t="s">
        <v>292</v>
      </c>
      <c r="D35" s="533"/>
      <c r="E35" s="533"/>
      <c r="F35" s="533"/>
      <c r="G35" s="533"/>
      <c r="H35" s="533"/>
      <c r="I35" s="533"/>
      <c r="J35" s="533"/>
      <c r="K35" s="533"/>
      <c r="L35" s="533"/>
      <c r="M35" s="533"/>
      <c r="N35" s="621"/>
    </row>
    <row r="36" spans="1:14" ht="12.75">
      <c r="A36" s="582"/>
      <c r="B36" s="582"/>
      <c r="C36" s="591" t="s">
        <v>293</v>
      </c>
      <c r="D36" s="622"/>
      <c r="E36" s="622"/>
      <c r="F36" s="622"/>
      <c r="G36" s="622"/>
      <c r="H36" s="622"/>
      <c r="I36" s="622"/>
      <c r="J36" s="622"/>
      <c r="K36" s="622"/>
      <c r="L36" s="622"/>
      <c r="M36" s="622"/>
      <c r="N36" s="623"/>
    </row>
    <row r="37" spans="1:14" ht="12.75">
      <c r="A37" s="627" t="s">
        <v>294</v>
      </c>
      <c r="B37" s="580">
        <v>36732</v>
      </c>
      <c r="C37" s="624" t="s">
        <v>295</v>
      </c>
      <c r="D37" s="625"/>
      <c r="E37" s="625"/>
      <c r="F37" s="625"/>
      <c r="G37" s="625"/>
      <c r="H37" s="625"/>
      <c r="I37" s="625"/>
      <c r="J37" s="625"/>
      <c r="K37" s="625"/>
      <c r="L37" s="625"/>
      <c r="M37" s="625"/>
      <c r="N37" s="626"/>
    </row>
    <row r="38" spans="1:14" ht="12.75">
      <c r="A38" s="581"/>
      <c r="B38" s="581"/>
      <c r="C38" s="620" t="s">
        <v>296</v>
      </c>
      <c r="D38" s="533"/>
      <c r="E38" s="533"/>
      <c r="F38" s="533"/>
      <c r="G38" s="533"/>
      <c r="H38" s="533"/>
      <c r="I38" s="533"/>
      <c r="J38" s="533"/>
      <c r="K38" s="533"/>
      <c r="L38" s="533"/>
      <c r="M38" s="533"/>
      <c r="N38" s="621"/>
    </row>
    <row r="39" spans="1:14" ht="12.75">
      <c r="A39" s="581"/>
      <c r="B39" s="581"/>
      <c r="C39" s="620" t="s">
        <v>297</v>
      </c>
      <c r="D39" s="533"/>
      <c r="E39" s="533"/>
      <c r="F39" s="533"/>
      <c r="G39" s="533"/>
      <c r="H39" s="533"/>
      <c r="I39" s="533"/>
      <c r="J39" s="533"/>
      <c r="K39" s="533"/>
      <c r="L39" s="533"/>
      <c r="M39" s="533"/>
      <c r="N39" s="621"/>
    </row>
    <row r="40" spans="1:14" ht="12.75">
      <c r="A40" s="581"/>
      <c r="B40" s="581"/>
      <c r="C40" s="620" t="s">
        <v>298</v>
      </c>
      <c r="D40" s="533"/>
      <c r="E40" s="533"/>
      <c r="F40" s="533"/>
      <c r="G40" s="533"/>
      <c r="H40" s="533"/>
      <c r="I40" s="533"/>
      <c r="J40" s="533"/>
      <c r="K40" s="533"/>
      <c r="L40" s="533"/>
      <c r="M40" s="533"/>
      <c r="N40" s="621"/>
    </row>
    <row r="41" spans="1:14" ht="12.75">
      <c r="A41" s="581"/>
      <c r="B41" s="581"/>
      <c r="C41" s="620" t="s">
        <v>299</v>
      </c>
      <c r="D41" s="533"/>
      <c r="E41" s="533"/>
      <c r="F41" s="533"/>
      <c r="G41" s="533"/>
      <c r="H41" s="533"/>
      <c r="I41" s="533"/>
      <c r="J41" s="533"/>
      <c r="K41" s="533"/>
      <c r="L41" s="533"/>
      <c r="M41" s="533"/>
      <c r="N41" s="621"/>
    </row>
    <row r="42" spans="1:14" ht="12.75">
      <c r="A42" s="581"/>
      <c r="B42" s="581"/>
      <c r="C42" s="620" t="s">
        <v>300</v>
      </c>
      <c r="D42" s="533"/>
      <c r="E42" s="533"/>
      <c r="F42" s="533"/>
      <c r="G42" s="533"/>
      <c r="H42" s="533"/>
      <c r="I42" s="533"/>
      <c r="J42" s="533"/>
      <c r="K42" s="533"/>
      <c r="L42" s="533"/>
      <c r="M42" s="533"/>
      <c r="N42" s="621"/>
    </row>
    <row r="43" spans="1:14" ht="12.75">
      <c r="A43" s="582"/>
      <c r="B43" s="582"/>
      <c r="C43" s="591" t="s">
        <v>301</v>
      </c>
      <c r="D43" s="622"/>
      <c r="E43" s="622"/>
      <c r="F43" s="622"/>
      <c r="G43" s="622"/>
      <c r="H43" s="622"/>
      <c r="I43" s="622"/>
      <c r="J43" s="622"/>
      <c r="K43" s="622"/>
      <c r="L43" s="622"/>
      <c r="M43" s="622"/>
      <c r="N43" s="623"/>
    </row>
  </sheetData>
  <sheetProtection sheet="1" objects="1" scenarios="1"/>
  <printOptions/>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J29"/>
  <sheetViews>
    <sheetView workbookViewId="0" topLeftCell="A1">
      <selection activeCell="B8" sqref="B8"/>
    </sheetView>
  </sheetViews>
  <sheetFormatPr defaultColWidth="9.140625" defaultRowHeight="12.75"/>
  <cols>
    <col min="1" max="1" width="22.00390625" style="0" customWidth="1"/>
    <col min="2" max="2" width="9.7109375" style="0" customWidth="1"/>
    <col min="7" max="7" width="14.57421875" style="0" customWidth="1"/>
    <col min="8" max="8" width="5.421875" style="0" customWidth="1"/>
  </cols>
  <sheetData>
    <row r="1" spans="1:9" ht="27" customHeight="1" thickBot="1">
      <c r="A1" s="524" t="str">
        <f>"Project Worksheet - "&amp;CHOOSE(TrialType,"Trial Aggregate Blends","Varying %AC Analysis")</f>
        <v>Project Worksheet - Varying %AC Analysis</v>
      </c>
      <c r="B1" s="191"/>
      <c r="C1" s="191"/>
      <c r="D1" s="191"/>
      <c r="E1" s="191"/>
      <c r="F1" s="191"/>
      <c r="G1" s="191"/>
      <c r="H1" s="192"/>
      <c r="I1" s="630" t="str">
        <f>MID('Raw Height Data'!A1,2,4)</f>
        <v>5.01</v>
      </c>
    </row>
    <row r="2" spans="1:9" ht="12.75">
      <c r="A2" s="164" t="s">
        <v>5</v>
      </c>
      <c r="B2" s="527" t="str">
        <f>ThisBook()</f>
        <v>Pine-Prj.xlt</v>
      </c>
      <c r="C2" s="528"/>
      <c r="D2" s="528"/>
      <c r="E2" s="528"/>
      <c r="F2" s="528"/>
      <c r="G2" s="529"/>
      <c r="H2" s="530">
        <v>500</v>
      </c>
      <c r="I2" s="592"/>
    </row>
    <row r="3" spans="1:8" ht="12.75">
      <c r="A3" s="164" t="s">
        <v>6</v>
      </c>
      <c r="B3" s="453"/>
      <c r="C3" s="455"/>
      <c r="D3" s="455"/>
      <c r="E3" s="455"/>
      <c r="F3" s="455"/>
      <c r="G3" s="456"/>
      <c r="H3" s="573"/>
    </row>
    <row r="4" spans="1:8" ht="12.75">
      <c r="A4" s="164" t="s">
        <v>7</v>
      </c>
      <c r="B4" s="453"/>
      <c r="C4" s="457"/>
      <c r="D4" s="457"/>
      <c r="E4" s="457"/>
      <c r="F4" s="457"/>
      <c r="G4" s="458"/>
      <c r="H4" s="163"/>
    </row>
    <row r="5" spans="1:8" ht="12.75">
      <c r="A5" s="164" t="s">
        <v>8</v>
      </c>
      <c r="B5" s="454"/>
      <c r="C5" s="20"/>
      <c r="D5" s="20"/>
      <c r="E5" s="20"/>
      <c r="F5" s="20"/>
      <c r="G5" s="20"/>
      <c r="H5" s="163"/>
    </row>
    <row r="6" spans="1:8" ht="15" customHeight="1">
      <c r="A6" s="164"/>
      <c r="B6" s="29"/>
      <c r="C6" s="20"/>
      <c r="D6" s="20"/>
      <c r="E6" s="2"/>
      <c r="F6" s="2"/>
      <c r="G6" s="2"/>
      <c r="H6" s="163"/>
    </row>
    <row r="7" spans="1:8" ht="12.75">
      <c r="A7" s="164"/>
      <c r="B7" s="20"/>
      <c r="C7" s="20"/>
      <c r="D7" s="20"/>
      <c r="E7" s="21"/>
      <c r="F7" s="21" t="s">
        <v>9</v>
      </c>
      <c r="G7" s="448"/>
      <c r="H7" s="163"/>
    </row>
    <row r="8" spans="1:8" ht="12.75">
      <c r="A8" s="164" t="s">
        <v>10</v>
      </c>
      <c r="B8" s="450">
        <v>0.3</v>
      </c>
      <c r="C8" s="20"/>
      <c r="D8" s="20"/>
      <c r="E8" s="21"/>
      <c r="F8" s="21" t="s">
        <v>11</v>
      </c>
      <c r="G8" s="448"/>
      <c r="H8" s="163" t="s">
        <v>12</v>
      </c>
    </row>
    <row r="9" spans="1:10" ht="12.75">
      <c r="A9" s="164" t="s">
        <v>13</v>
      </c>
      <c r="B9" s="451">
        <v>30</v>
      </c>
      <c r="C9" s="20" t="s">
        <v>14</v>
      </c>
      <c r="D9" s="20"/>
      <c r="E9" s="20"/>
      <c r="F9" s="21" t="s">
        <v>15</v>
      </c>
      <c r="G9" s="448"/>
      <c r="H9" s="163" t="s">
        <v>12</v>
      </c>
      <c r="J9" s="568"/>
    </row>
    <row r="10" spans="1:8" ht="15.75" customHeight="1">
      <c r="A10" s="164" t="s">
        <v>16</v>
      </c>
      <c r="B10" s="525"/>
      <c r="C10" s="2" t="s">
        <v>14</v>
      </c>
      <c r="D10" s="20"/>
      <c r="E10" s="20"/>
      <c r="F10" s="21" t="s">
        <v>17</v>
      </c>
      <c r="G10" s="448"/>
      <c r="H10" s="163" t="s">
        <v>12</v>
      </c>
    </row>
    <row r="11" spans="1:8" ht="15.75" customHeight="1">
      <c r="A11" s="164" t="s">
        <v>18</v>
      </c>
      <c r="B11" s="525"/>
      <c r="C11" s="2" t="s">
        <v>14</v>
      </c>
      <c r="D11" s="20"/>
      <c r="E11" s="2"/>
      <c r="F11" s="2"/>
      <c r="G11" s="2"/>
      <c r="H11" s="163"/>
    </row>
    <row r="12" spans="1:8" ht="27.75" customHeight="1">
      <c r="A12" s="165"/>
      <c r="B12" s="2"/>
      <c r="C12" s="81"/>
      <c r="D12" s="20"/>
      <c r="E12" s="2"/>
      <c r="F12" s="2"/>
      <c r="G12" s="2"/>
      <c r="H12" s="163"/>
    </row>
    <row r="13" spans="1:8" ht="25.5">
      <c r="A13" s="531"/>
      <c r="B13" s="57" t="s">
        <v>19</v>
      </c>
      <c r="C13" s="57" t="s">
        <v>20</v>
      </c>
      <c r="D13" s="20"/>
      <c r="E13" s="2"/>
      <c r="F13" s="21"/>
      <c r="G13" s="526" t="s">
        <v>21</v>
      </c>
      <c r="H13" s="163"/>
    </row>
    <row r="14" spans="1:8" ht="12.75">
      <c r="A14" s="532" t="s">
        <v>22</v>
      </c>
      <c r="B14" s="572">
        <f>CalcNINI</f>
        <v>7</v>
      </c>
      <c r="C14" s="571">
        <v>12</v>
      </c>
      <c r="D14" s="20"/>
      <c r="E14" s="2"/>
      <c r="F14" s="21" t="s">
        <v>23</v>
      </c>
      <c r="G14" s="452"/>
      <c r="H14" s="163"/>
    </row>
    <row r="15" spans="1:8" ht="12.75">
      <c r="A15" s="532" t="s">
        <v>24</v>
      </c>
      <c r="B15" s="572">
        <f>CalcNDES</f>
        <v>75</v>
      </c>
      <c r="C15" s="571">
        <v>100</v>
      </c>
      <c r="D15" s="20"/>
      <c r="E15" s="20"/>
      <c r="F15" s="21" t="s">
        <v>25</v>
      </c>
      <c r="G15" s="452"/>
      <c r="H15" s="163"/>
    </row>
    <row r="16" spans="1:8" ht="12.75" customHeight="1">
      <c r="A16" s="532" t="s">
        <v>26</v>
      </c>
      <c r="B16" s="572">
        <f>CalcNMAX</f>
        <v>115</v>
      </c>
      <c r="C16" s="571">
        <v>144</v>
      </c>
      <c r="D16" s="2"/>
      <c r="E16" s="2"/>
      <c r="F16" s="21" t="s">
        <v>27</v>
      </c>
      <c r="G16" s="452"/>
      <c r="H16" s="163"/>
    </row>
    <row r="17" spans="1:8" ht="12.75">
      <c r="A17" s="165"/>
      <c r="B17" s="2"/>
      <c r="C17" s="2"/>
      <c r="D17" s="2"/>
      <c r="E17" s="2"/>
      <c r="F17" s="21" t="s">
        <v>28</v>
      </c>
      <c r="G17" s="452"/>
      <c r="H17" s="163"/>
    </row>
    <row r="18" spans="1:8" ht="12.75">
      <c r="A18" s="165"/>
      <c r="B18" s="2"/>
      <c r="C18" s="2"/>
      <c r="D18" s="2"/>
      <c r="E18" s="1"/>
      <c r="F18" s="1"/>
      <c r="G18" s="1"/>
      <c r="H18" s="163"/>
    </row>
    <row r="19" spans="1:8" ht="12.75">
      <c r="A19" s="165"/>
      <c r="B19" s="2"/>
      <c r="C19" s="2"/>
      <c r="D19" s="2"/>
      <c r="E19" s="2"/>
      <c r="F19" s="2"/>
      <c r="G19" s="2"/>
      <c r="H19" s="163"/>
    </row>
    <row r="20" spans="1:8" ht="12.75">
      <c r="A20" s="165"/>
      <c r="B20" s="2"/>
      <c r="C20" s="2"/>
      <c r="D20" s="2"/>
      <c r="E20" s="2"/>
      <c r="F20" s="87" t="s">
        <v>29</v>
      </c>
      <c r="G20" s="87"/>
      <c r="H20" s="163"/>
    </row>
    <row r="21" spans="1:8" ht="12.75">
      <c r="A21" s="165"/>
      <c r="B21" s="2"/>
      <c r="C21" s="2"/>
      <c r="D21" s="2"/>
      <c r="E21" s="2"/>
      <c r="F21" s="533"/>
      <c r="G21" s="521" t="s">
        <v>30</v>
      </c>
      <c r="H21" s="163"/>
    </row>
    <row r="22" spans="1:8" ht="12.75">
      <c r="A22" s="165"/>
      <c r="B22" s="2"/>
      <c r="C22" s="2"/>
      <c r="D22" s="2"/>
      <c r="E22" s="2"/>
      <c r="F22" s="534"/>
      <c r="G22" s="2" t="s">
        <v>31</v>
      </c>
      <c r="H22" s="163"/>
    </row>
    <row r="23" spans="1:8" ht="12.75">
      <c r="A23" s="165"/>
      <c r="B23" s="2"/>
      <c r="C23" s="2"/>
      <c r="D23" s="2"/>
      <c r="E23" s="2"/>
      <c r="F23" s="522"/>
      <c r="G23" s="523" t="s">
        <v>32</v>
      </c>
      <c r="H23" s="163"/>
    </row>
    <row r="24" spans="1:8" ht="12.75">
      <c r="A24" s="165"/>
      <c r="B24" s="2"/>
      <c r="C24" s="2"/>
      <c r="D24" s="2"/>
      <c r="E24" s="2"/>
      <c r="F24" s="2"/>
      <c r="G24" s="2"/>
      <c r="H24" s="163"/>
    </row>
    <row r="25" spans="1:8" ht="12.75">
      <c r="A25" s="165"/>
      <c r="B25" s="2"/>
      <c r="C25" s="2"/>
      <c r="D25" s="2"/>
      <c r="E25" s="2"/>
      <c r="F25" s="2"/>
      <c r="G25" s="2"/>
      <c r="H25" s="163"/>
    </row>
    <row r="26" spans="1:8" ht="12.75">
      <c r="A26" s="165"/>
      <c r="B26" s="2"/>
      <c r="C26" s="2"/>
      <c r="D26" s="2"/>
      <c r="E26" s="2"/>
      <c r="F26" s="2"/>
      <c r="G26" s="2"/>
      <c r="H26" s="163"/>
    </row>
    <row r="27" spans="1:8" ht="12.75">
      <c r="A27" s="165"/>
      <c r="B27" s="1"/>
      <c r="C27" s="1"/>
      <c r="D27" s="1"/>
      <c r="E27" s="2"/>
      <c r="F27" s="2"/>
      <c r="G27" s="2"/>
      <c r="H27" s="163"/>
    </row>
    <row r="28" spans="1:9" ht="12.75">
      <c r="A28" s="165"/>
      <c r="B28" s="1"/>
      <c r="C28" s="1"/>
      <c r="D28" s="1"/>
      <c r="E28" s="1"/>
      <c r="F28" s="1"/>
      <c r="G28" s="1"/>
      <c r="H28" s="163"/>
      <c r="I28" s="83"/>
    </row>
    <row r="29" spans="1:8" ht="13.5" thickBot="1">
      <c r="A29" s="166"/>
      <c r="B29" s="167"/>
      <c r="C29" s="167"/>
      <c r="D29" s="167"/>
      <c r="E29" s="167"/>
      <c r="F29" s="167"/>
      <c r="G29" s="167"/>
      <c r="H29" s="168"/>
    </row>
  </sheetData>
  <sheetProtection sheet="1" objects="1" scenarios="1"/>
  <printOptions horizontalCentered="1"/>
  <pageMargins left="0.75" right="0.75" top="1" bottom="1" header="0.5" footer="0.5"/>
  <pageSetup blackAndWhite="1" horizontalDpi="300" verticalDpi="300" orientation="portrait" scale="90" r:id="rId3"/>
  <headerFooter alignWithMargins="0">
    <oddHeader>&amp;LProject Worksheet&amp;R&amp;F</oddHeader>
    <oddFooter>&amp;R&amp;D, &amp;T</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M95"/>
  <sheetViews>
    <sheetView zoomScale="75" zoomScaleNormal="75" workbookViewId="0" topLeftCell="A1">
      <selection activeCell="C13" sqref="C13"/>
    </sheetView>
  </sheetViews>
  <sheetFormatPr defaultColWidth="9.140625" defaultRowHeight="12.75"/>
  <cols>
    <col min="1" max="1" width="31.421875" style="8" customWidth="1"/>
    <col min="2" max="3" width="10.8515625" style="16" customWidth="1"/>
    <col min="4" max="4" width="10.8515625" style="17" customWidth="1"/>
    <col min="5" max="13" width="10.8515625" style="18" customWidth="1"/>
    <col min="14" max="16384" width="9.140625" style="18" customWidth="1"/>
  </cols>
  <sheetData>
    <row r="1" spans="1:13" s="169" customFormat="1" ht="27" customHeight="1" thickBot="1">
      <c r="A1" s="198"/>
      <c r="B1" s="199" t="s">
        <v>33</v>
      </c>
      <c r="C1" s="193"/>
      <c r="D1" s="194"/>
      <c r="E1" s="195"/>
      <c r="F1" s="195"/>
      <c r="G1" s="195"/>
      <c r="H1" s="196"/>
      <c r="I1" s="196"/>
      <c r="J1" s="196"/>
      <c r="K1" s="196"/>
      <c r="L1" s="196"/>
      <c r="M1" s="197"/>
    </row>
    <row r="2" spans="1:13" s="169" customFormat="1" ht="21.75" customHeight="1">
      <c r="A2" s="368">
        <v>2</v>
      </c>
      <c r="B2" s="309"/>
      <c r="C2" s="309"/>
      <c r="D2" s="310"/>
      <c r="E2" s="311"/>
      <c r="F2" s="312"/>
      <c r="G2" s="313"/>
      <c r="H2" s="312"/>
      <c r="I2" s="313"/>
      <c r="J2" s="313"/>
      <c r="K2" s="313"/>
      <c r="L2" s="313"/>
      <c r="M2" s="20"/>
    </row>
    <row r="3" spans="1:13" s="169" customFormat="1" ht="12.75">
      <c r="A3" s="20"/>
      <c r="B3" s="2"/>
      <c r="C3" s="21"/>
      <c r="D3" s="314"/>
      <c r="E3" s="20"/>
      <c r="F3" s="20"/>
      <c r="G3" s="20"/>
      <c r="H3" s="20"/>
      <c r="I3" s="20"/>
      <c r="J3" s="20"/>
      <c r="K3" s="2"/>
      <c r="L3" s="20"/>
      <c r="M3" s="20"/>
    </row>
    <row r="4" spans="1:13" s="169" customFormat="1" ht="12.75">
      <c r="A4" s="20"/>
      <c r="B4" s="72" t="str">
        <f>IF(BlendID1="","Blend 1",BlendID1)</f>
        <v>Blend 1</v>
      </c>
      <c r="C4" s="73"/>
      <c r="D4" s="74"/>
      <c r="E4" s="75" t="str">
        <f>IF(BlendID2="","Blend 2",BlendID2)</f>
        <v>Blend 2</v>
      </c>
      <c r="F4" s="73"/>
      <c r="G4" s="74"/>
      <c r="H4" s="72" t="str">
        <f>IF(BlendID3="","Blend 3",BlendID3)</f>
        <v>Blend 3</v>
      </c>
      <c r="I4" s="73"/>
      <c r="J4" s="74"/>
      <c r="K4" s="72" t="str">
        <f>IF(BlendID4="","Blend 4",BlendID4)</f>
        <v>Blend 4</v>
      </c>
      <c r="L4" s="73"/>
      <c r="M4" s="74"/>
    </row>
    <row r="5" spans="1:13" s="169" customFormat="1" ht="12.75" hidden="1">
      <c r="A5" s="367"/>
      <c r="B5" s="365" t="s">
        <v>1</v>
      </c>
      <c r="C5" s="365" t="s">
        <v>2</v>
      </c>
      <c r="D5" s="365" t="s">
        <v>3</v>
      </c>
      <c r="E5" s="365" t="s">
        <v>1</v>
      </c>
      <c r="F5" s="365" t="s">
        <v>2</v>
      </c>
      <c r="G5" s="365" t="s">
        <v>3</v>
      </c>
      <c r="H5" s="365" t="s">
        <v>1</v>
      </c>
      <c r="I5" s="365" t="s">
        <v>2</v>
      </c>
      <c r="J5" s="365" t="s">
        <v>3</v>
      </c>
      <c r="K5" s="365" t="s">
        <v>1</v>
      </c>
      <c r="L5" s="365" t="s">
        <v>2</v>
      </c>
      <c r="M5" s="365" t="s">
        <v>3</v>
      </c>
    </row>
    <row r="6" spans="1:13" s="169" customFormat="1" ht="12.75" hidden="1">
      <c r="A6" s="363" t="s">
        <v>34</v>
      </c>
      <c r="B6" s="364"/>
      <c r="C6" s="364"/>
      <c r="D6" s="364"/>
      <c r="E6" s="364"/>
      <c r="F6" s="364"/>
      <c r="G6" s="364"/>
      <c r="H6" s="364"/>
      <c r="I6" s="364"/>
      <c r="J6" s="364"/>
      <c r="K6" s="364"/>
      <c r="L6" s="364"/>
      <c r="M6" s="364"/>
    </row>
    <row r="7" spans="1:13" s="169" customFormat="1" ht="12.75" hidden="1">
      <c r="A7" s="363" t="s">
        <v>35</v>
      </c>
      <c r="B7" s="364"/>
      <c r="C7" s="364"/>
      <c r="D7" s="364"/>
      <c r="E7" s="364"/>
      <c r="F7" s="364"/>
      <c r="G7" s="364"/>
      <c r="H7" s="364"/>
      <c r="I7" s="364"/>
      <c r="J7" s="364"/>
      <c r="K7" s="364"/>
      <c r="L7" s="364"/>
      <c r="M7" s="364"/>
    </row>
    <row r="8" spans="1:13" s="169" customFormat="1" ht="12.75" hidden="1">
      <c r="A8" s="363" t="s">
        <v>36</v>
      </c>
      <c r="B8" s="364"/>
      <c r="C8" s="364"/>
      <c r="D8" s="364"/>
      <c r="E8" s="364"/>
      <c r="F8" s="364"/>
      <c r="G8" s="364"/>
      <c r="H8" s="364"/>
      <c r="I8" s="364"/>
      <c r="J8" s="364"/>
      <c r="K8" s="364"/>
      <c r="L8" s="364"/>
      <c r="M8" s="364"/>
    </row>
    <row r="9" spans="1:13" s="169" customFormat="1" ht="12.75" hidden="1">
      <c r="A9" s="363" t="s">
        <v>37</v>
      </c>
      <c r="B9" s="364"/>
      <c r="C9" s="364"/>
      <c r="D9" s="364"/>
      <c r="E9" s="364"/>
      <c r="F9" s="364"/>
      <c r="G9" s="364"/>
      <c r="H9" s="364"/>
      <c r="I9" s="364"/>
      <c r="J9" s="364"/>
      <c r="K9" s="364"/>
      <c r="L9" s="364"/>
      <c r="M9" s="364"/>
    </row>
    <row r="10" spans="1:13" s="169" customFormat="1" ht="12.75" hidden="1">
      <c r="A10" s="363"/>
      <c r="B10" s="89"/>
      <c r="C10" s="89"/>
      <c r="D10" s="89"/>
      <c r="E10" s="89"/>
      <c r="F10" s="89"/>
      <c r="G10" s="89"/>
      <c r="H10" s="89"/>
      <c r="I10" s="89"/>
      <c r="J10" s="89"/>
      <c r="K10" s="89"/>
      <c r="L10" s="89"/>
      <c r="M10" s="89"/>
    </row>
    <row r="11" spans="1:13" s="169" customFormat="1" ht="12.75" hidden="1">
      <c r="A11" s="363" t="s">
        <v>38</v>
      </c>
      <c r="B11" s="110">
        <f>IF(ISERROR((B6-B7)/((B6-B7)-(B8-B9))),"",(B6-B7)/((B6-B7)-(B8-B9)))</f>
      </c>
      <c r="C11" s="110">
        <f aca="true" t="shared" si="0" ref="C11:M11">IF(ISERROR((C6-C7)/((C6-C7)-(C8-C9))),"",(C6-C7)/((C6-C7)-(C8-C9)))</f>
      </c>
      <c r="D11" s="110">
        <f t="shared" si="0"/>
      </c>
      <c r="E11" s="110">
        <f t="shared" si="0"/>
      </c>
      <c r="F11" s="110">
        <f t="shared" si="0"/>
      </c>
      <c r="G11" s="110">
        <f t="shared" si="0"/>
      </c>
      <c r="H11" s="110">
        <f t="shared" si="0"/>
      </c>
      <c r="I11" s="110">
        <f t="shared" si="0"/>
      </c>
      <c r="J11" s="110">
        <f t="shared" si="0"/>
      </c>
      <c r="K11" s="110">
        <f t="shared" si="0"/>
      </c>
      <c r="L11" s="110">
        <f t="shared" si="0"/>
      </c>
      <c r="M11" s="110">
        <f t="shared" si="0"/>
      </c>
    </row>
    <row r="12" spans="1:13" s="169" customFormat="1" ht="12.75" hidden="1">
      <c r="A12" s="367"/>
      <c r="B12" s="9"/>
      <c r="C12" s="2"/>
      <c r="D12" s="11"/>
      <c r="E12" s="12"/>
      <c r="F12" s="2"/>
      <c r="G12" s="12"/>
      <c r="H12" s="12"/>
      <c r="I12" s="2"/>
      <c r="J12" s="12"/>
      <c r="K12" s="12"/>
      <c r="L12" s="2"/>
      <c r="M12" s="12"/>
    </row>
    <row r="13" spans="1:13" s="169" customFormat="1" ht="12.75">
      <c r="A13" s="367" t="s">
        <v>39</v>
      </c>
      <c r="B13" s="390"/>
      <c r="C13" s="366"/>
      <c r="D13" s="390"/>
      <c r="E13" s="390"/>
      <c r="F13" s="366"/>
      <c r="G13" s="390"/>
      <c r="H13" s="390"/>
      <c r="I13" s="366"/>
      <c r="J13" s="390"/>
      <c r="K13" s="390"/>
      <c r="L13" s="366"/>
      <c r="M13" s="390"/>
    </row>
    <row r="14" spans="1:13" s="169" customFormat="1" ht="12.75" hidden="1">
      <c r="A14" s="363" t="s">
        <v>40</v>
      </c>
      <c r="B14" s="364"/>
      <c r="C14" s="364"/>
      <c r="D14" s="364"/>
      <c r="E14" s="364"/>
      <c r="F14" s="364"/>
      <c r="G14" s="364"/>
      <c r="H14" s="364"/>
      <c r="I14" s="364"/>
      <c r="J14" s="364"/>
      <c r="K14" s="364"/>
      <c r="L14" s="364"/>
      <c r="M14" s="364"/>
    </row>
    <row r="15" spans="1:13" s="169" customFormat="1" ht="12.75" hidden="1">
      <c r="A15" s="363" t="s">
        <v>41</v>
      </c>
      <c r="B15" s="364"/>
      <c r="C15" s="364"/>
      <c r="D15" s="364"/>
      <c r="E15" s="364"/>
      <c r="F15" s="364"/>
      <c r="G15" s="364"/>
      <c r="H15" s="364"/>
      <c r="I15" s="364"/>
      <c r="J15" s="364"/>
      <c r="K15" s="364"/>
      <c r="L15" s="364"/>
      <c r="M15" s="364"/>
    </row>
    <row r="16" spans="1:13" s="169" customFormat="1" ht="12.75" hidden="1">
      <c r="A16" s="363" t="s">
        <v>42</v>
      </c>
      <c r="B16" s="364"/>
      <c r="C16" s="364"/>
      <c r="D16" s="364"/>
      <c r="E16" s="364"/>
      <c r="F16" s="364"/>
      <c r="G16" s="364"/>
      <c r="H16" s="364"/>
      <c r="I16" s="364"/>
      <c r="J16" s="364"/>
      <c r="K16" s="364"/>
      <c r="L16" s="364"/>
      <c r="M16" s="364"/>
    </row>
    <row r="17" spans="1:13" s="169" customFormat="1" ht="12.75" hidden="1">
      <c r="A17" s="363"/>
      <c r="B17" s="20"/>
      <c r="C17" s="20"/>
      <c r="D17" s="20"/>
      <c r="E17" s="20"/>
      <c r="F17" s="20"/>
      <c r="G17" s="20"/>
      <c r="H17" s="20"/>
      <c r="I17" s="20"/>
      <c r="J17" s="20"/>
      <c r="K17" s="20"/>
      <c r="L17" s="20"/>
      <c r="M17" s="20"/>
    </row>
    <row r="18" spans="1:13" s="169" customFormat="1" ht="12.75" hidden="1">
      <c r="A18" s="363" t="s">
        <v>38</v>
      </c>
      <c r="B18" s="110">
        <f>IF(ISERROR(B14/((B14+B15)-B16)),"",(B14/((B14+B15)-B16)))</f>
      </c>
      <c r="C18" s="110">
        <f aca="true" t="shared" si="1" ref="C18:M18">IF(ISERROR(C14/((C14+C15)-C16)),"",(C14/((C14+C15)-C16)))</f>
      </c>
      <c r="D18" s="110">
        <f t="shared" si="1"/>
      </c>
      <c r="E18" s="110">
        <f t="shared" si="1"/>
      </c>
      <c r="F18" s="110">
        <f t="shared" si="1"/>
      </c>
      <c r="G18" s="110">
        <f t="shared" si="1"/>
      </c>
      <c r="H18" s="110">
        <f t="shared" si="1"/>
      </c>
      <c r="I18" s="110">
        <f t="shared" si="1"/>
      </c>
      <c r="J18" s="110">
        <f t="shared" si="1"/>
      </c>
      <c r="K18" s="110">
        <f t="shared" si="1"/>
      </c>
      <c r="L18" s="110">
        <f t="shared" si="1"/>
      </c>
      <c r="M18" s="110">
        <f t="shared" si="1"/>
      </c>
    </row>
    <row r="19" spans="1:13" s="169" customFormat="1" ht="12.75">
      <c r="A19" s="367"/>
      <c r="B19" s="27"/>
      <c r="C19" s="27"/>
      <c r="D19" s="28"/>
      <c r="E19" s="25"/>
      <c r="F19" s="25"/>
      <c r="G19" s="25"/>
      <c r="H19" s="25"/>
      <c r="I19" s="25"/>
      <c r="J19" s="25"/>
      <c r="K19" s="25"/>
      <c r="L19" s="25"/>
      <c r="M19" s="25"/>
    </row>
    <row r="20" spans="1:13" s="169" customFormat="1" ht="12.75">
      <c r="A20" s="367" t="s">
        <v>43</v>
      </c>
      <c r="B20" s="19"/>
      <c r="C20" s="53">
        <f>CHOOSE(CalculatedMode,AVERAGE(B11:D11),UserGmm1,AVERAGE(B18:D18))</f>
        <v>0</v>
      </c>
      <c r="D20" s="20"/>
      <c r="E20" s="316"/>
      <c r="F20" s="53">
        <f>CHOOSE(CalculatedMode,AVERAGE(E11:G11),UserGmm2,AVERAGE(E18:G18))</f>
        <v>0</v>
      </c>
      <c r="G20" s="25"/>
      <c r="H20" s="25"/>
      <c r="I20" s="53">
        <f>CHOOSE(CalculatedMode,AVERAGE(H11:J11),UserGmm3,AVERAGE(H18:J18))</f>
        <v>0</v>
      </c>
      <c r="J20" s="25"/>
      <c r="K20" s="25"/>
      <c r="L20" s="53">
        <f>CHOOSE(CalculatedMode,AVERAGE(K11:M11),UserGmm4,AVERAGE(K18:M18))</f>
        <v>0</v>
      </c>
      <c r="M20" s="25"/>
    </row>
    <row r="21" spans="1:13" s="169" customFormat="1" ht="12.75">
      <c r="A21" s="20"/>
      <c r="B21" s="19"/>
      <c r="C21" s="20"/>
      <c r="D21" s="20"/>
      <c r="E21" s="25"/>
      <c r="F21" s="25"/>
      <c r="G21" s="25"/>
      <c r="H21" s="25"/>
      <c r="I21" s="25"/>
      <c r="J21" s="25"/>
      <c r="K21" s="20"/>
      <c r="L21" s="20"/>
      <c r="M21" s="20"/>
    </row>
    <row r="22" spans="1:13" s="169" customFormat="1" ht="12.75">
      <c r="A22" s="369"/>
      <c r="B22" s="20"/>
      <c r="C22" s="20"/>
      <c r="D22" s="20"/>
      <c r="E22" s="20"/>
      <c r="F22" s="25"/>
      <c r="G22" s="25"/>
      <c r="H22" s="25"/>
      <c r="I22" s="25"/>
      <c r="J22" s="25"/>
      <c r="K22" s="20"/>
      <c r="L22" s="20"/>
      <c r="M22" s="20"/>
    </row>
    <row r="23" spans="1:13" s="169" customFormat="1" ht="12.75">
      <c r="A23" s="371" t="s">
        <v>44</v>
      </c>
      <c r="B23" s="20"/>
      <c r="C23" s="20"/>
      <c r="D23" s="20"/>
      <c r="E23" s="25"/>
      <c r="F23" s="25"/>
      <c r="G23" s="25"/>
      <c r="H23" s="25"/>
      <c r="I23" s="25"/>
      <c r="J23" s="25"/>
      <c r="K23" s="20"/>
      <c r="L23" s="20"/>
      <c r="M23" s="20"/>
    </row>
    <row r="24" spans="1:13" s="169" customFormat="1" ht="12.75">
      <c r="A24" s="372" t="s">
        <v>45</v>
      </c>
      <c r="B24" s="19"/>
      <c r="C24" s="19"/>
      <c r="D24" s="19"/>
      <c r="E24" s="19"/>
      <c r="F24" s="19"/>
      <c r="G24" s="25"/>
      <c r="H24" s="20"/>
      <c r="I24" s="20"/>
      <c r="J24" s="20"/>
      <c r="K24" s="20"/>
      <c r="L24" s="20"/>
      <c r="M24" s="20"/>
    </row>
    <row r="25" spans="1:13" s="169" customFormat="1" ht="12.75">
      <c r="A25" s="373" t="s">
        <v>46</v>
      </c>
      <c r="B25" s="19"/>
      <c r="C25" s="19"/>
      <c r="D25" s="19"/>
      <c r="E25" s="19"/>
      <c r="F25" s="19"/>
      <c r="G25" s="25"/>
      <c r="H25" s="20"/>
      <c r="I25" s="20"/>
      <c r="J25" s="20"/>
      <c r="K25" s="20"/>
      <c r="L25" s="20"/>
      <c r="M25" s="20"/>
    </row>
    <row r="26" spans="1:13" s="169" customFormat="1" ht="12.75">
      <c r="A26" s="370"/>
      <c r="B26" s="19"/>
      <c r="C26" s="19"/>
      <c r="D26" s="19"/>
      <c r="E26" s="19"/>
      <c r="F26" s="26"/>
      <c r="G26" s="25"/>
      <c r="H26" s="20"/>
      <c r="I26" s="20"/>
      <c r="J26" s="20"/>
      <c r="K26" s="20"/>
      <c r="L26" s="20"/>
      <c r="M26" s="20"/>
    </row>
    <row r="27" spans="1:13" s="169" customFormat="1" ht="12.75">
      <c r="A27" s="370"/>
      <c r="B27" s="19"/>
      <c r="C27" s="19"/>
      <c r="D27" s="19"/>
      <c r="E27" s="19"/>
      <c r="F27" s="19"/>
      <c r="G27" s="25"/>
      <c r="H27" s="20"/>
      <c r="I27" s="20"/>
      <c r="J27" s="20"/>
      <c r="K27" s="20"/>
      <c r="L27" s="20"/>
      <c r="M27" s="20"/>
    </row>
    <row r="28" spans="1:13" s="169" customFormat="1" ht="12.75">
      <c r="A28" s="2"/>
      <c r="B28" s="20"/>
      <c r="C28" s="20"/>
      <c r="D28" s="19"/>
      <c r="E28" s="19"/>
      <c r="F28" s="19"/>
      <c r="G28" s="25"/>
      <c r="H28" s="20"/>
      <c r="I28" s="20"/>
      <c r="J28" s="20"/>
      <c r="K28" s="20"/>
      <c r="L28" s="20"/>
      <c r="M28" s="20"/>
    </row>
    <row r="29" spans="1:13" s="169" customFormat="1" ht="12.75">
      <c r="A29" s="367"/>
      <c r="B29" s="27"/>
      <c r="C29" s="27"/>
      <c r="D29" s="28"/>
      <c r="E29" s="25"/>
      <c r="F29" s="25"/>
      <c r="G29" s="25"/>
      <c r="H29" s="20"/>
      <c r="I29" s="20"/>
      <c r="J29" s="20"/>
      <c r="K29" s="20"/>
      <c r="L29" s="20"/>
      <c r="M29" s="20"/>
    </row>
    <row r="30" spans="1:7" s="169" customFormat="1" ht="12.75">
      <c r="A30" s="305"/>
      <c r="B30" s="306"/>
      <c r="C30" s="306"/>
      <c r="D30" s="307"/>
      <c r="E30" s="308"/>
      <c r="F30" s="308"/>
      <c r="G30" s="308"/>
    </row>
    <row r="31" spans="1:10" s="169" customFormat="1" ht="12.75">
      <c r="A31" s="305"/>
      <c r="B31" s="306"/>
      <c r="C31" s="306"/>
      <c r="D31" s="307"/>
      <c r="E31" s="308"/>
      <c r="F31" s="308"/>
      <c r="G31" s="308"/>
      <c r="H31" s="308"/>
      <c r="I31" s="308"/>
      <c r="J31" s="308"/>
    </row>
    <row r="32" spans="1:10" s="169" customFormat="1" ht="12.75">
      <c r="A32" s="305"/>
      <c r="B32" s="306"/>
      <c r="C32" s="306"/>
      <c r="D32" s="307"/>
      <c r="E32" s="308"/>
      <c r="F32" s="308"/>
      <c r="G32" s="308"/>
      <c r="H32" s="308"/>
      <c r="I32" s="308"/>
      <c r="J32" s="308"/>
    </row>
    <row r="33" spans="1:10" s="169" customFormat="1" ht="12.75">
      <c r="A33" s="305"/>
      <c r="B33" s="306"/>
      <c r="C33" s="306"/>
      <c r="D33" s="307"/>
      <c r="E33" s="308"/>
      <c r="F33" s="308"/>
      <c r="G33" s="308"/>
      <c r="H33" s="308"/>
      <c r="I33" s="308"/>
      <c r="J33" s="308"/>
    </row>
    <row r="34" spans="1:10" s="169" customFormat="1" ht="12.75">
      <c r="A34" s="305"/>
      <c r="B34" s="306"/>
      <c r="C34" s="306"/>
      <c r="D34" s="307"/>
      <c r="E34" s="308"/>
      <c r="F34" s="308"/>
      <c r="G34" s="308"/>
      <c r="H34" s="308"/>
      <c r="I34" s="308"/>
      <c r="J34" s="308"/>
    </row>
    <row r="35" spans="1:10" s="169" customFormat="1" ht="12.75">
      <c r="A35" s="305"/>
      <c r="B35" s="306"/>
      <c r="C35" s="306"/>
      <c r="D35" s="307"/>
      <c r="E35" s="308"/>
      <c r="F35" s="308"/>
      <c r="G35" s="308"/>
      <c r="H35" s="308"/>
      <c r="I35" s="308"/>
      <c r="J35" s="308"/>
    </row>
    <row r="36" spans="1:10" s="169" customFormat="1" ht="12.75">
      <c r="A36" s="305"/>
      <c r="B36" s="306"/>
      <c r="C36" s="306"/>
      <c r="D36" s="307"/>
      <c r="E36" s="308"/>
      <c r="F36" s="308"/>
      <c r="G36" s="308"/>
      <c r="H36" s="308"/>
      <c r="I36" s="308"/>
      <c r="J36" s="308"/>
    </row>
    <row r="37" spans="1:10" s="169" customFormat="1" ht="12.75">
      <c r="A37" s="305"/>
      <c r="B37" s="306"/>
      <c r="C37" s="306"/>
      <c r="D37" s="307"/>
      <c r="E37" s="308"/>
      <c r="F37" s="308"/>
      <c r="G37" s="308"/>
      <c r="H37" s="308"/>
      <c r="I37" s="308"/>
      <c r="J37" s="308"/>
    </row>
    <row r="38" spans="1:10" s="169" customFormat="1" ht="12.75">
      <c r="A38" s="305"/>
      <c r="B38" s="306"/>
      <c r="C38" s="306"/>
      <c r="D38" s="307"/>
      <c r="E38" s="308"/>
      <c r="F38" s="308"/>
      <c r="G38" s="308"/>
      <c r="H38" s="308"/>
      <c r="I38" s="308"/>
      <c r="J38" s="308"/>
    </row>
    <row r="39" spans="1:10" s="169" customFormat="1" ht="12.75">
      <c r="A39" s="305"/>
      <c r="B39" s="306"/>
      <c r="C39" s="306"/>
      <c r="D39" s="307"/>
      <c r="E39" s="308"/>
      <c r="F39" s="308"/>
      <c r="G39" s="308"/>
      <c r="H39" s="308"/>
      <c r="I39" s="308"/>
      <c r="J39" s="308"/>
    </row>
    <row r="40" spans="1:10" s="169" customFormat="1" ht="12.75">
      <c r="A40" s="305"/>
      <c r="B40" s="306"/>
      <c r="C40" s="306"/>
      <c r="D40" s="307"/>
      <c r="E40" s="308"/>
      <c r="F40" s="308"/>
      <c r="G40" s="308"/>
      <c r="H40" s="308"/>
      <c r="I40" s="308"/>
      <c r="J40" s="308"/>
    </row>
    <row r="41" spans="1:10" s="169" customFormat="1" ht="12.75">
      <c r="A41" s="305"/>
      <c r="B41" s="306"/>
      <c r="C41" s="306"/>
      <c r="D41" s="307"/>
      <c r="E41" s="308"/>
      <c r="F41" s="308"/>
      <c r="G41" s="308"/>
      <c r="H41" s="308"/>
      <c r="I41" s="308"/>
      <c r="J41" s="308"/>
    </row>
    <row r="42" spans="1:10" s="169" customFormat="1" ht="12.75">
      <c r="A42" s="305"/>
      <c r="B42" s="306"/>
      <c r="C42" s="306"/>
      <c r="D42" s="307"/>
      <c r="E42" s="308"/>
      <c r="F42" s="308"/>
      <c r="G42" s="308"/>
      <c r="H42" s="308"/>
      <c r="I42" s="308"/>
      <c r="J42" s="308"/>
    </row>
    <row r="43" spans="1:10" s="169" customFormat="1" ht="12.75">
      <c r="A43" s="305"/>
      <c r="B43" s="306"/>
      <c r="C43" s="306"/>
      <c r="D43" s="307"/>
      <c r="E43" s="308"/>
      <c r="F43" s="308"/>
      <c r="G43" s="308"/>
      <c r="H43" s="308"/>
      <c r="I43" s="308"/>
      <c r="J43" s="308"/>
    </row>
    <row r="44" spans="1:10" s="169" customFormat="1" ht="12.75">
      <c r="A44" s="305"/>
      <c r="B44" s="306"/>
      <c r="C44" s="306"/>
      <c r="D44" s="307"/>
      <c r="E44" s="308"/>
      <c r="F44" s="308"/>
      <c r="G44" s="308"/>
      <c r="H44" s="308"/>
      <c r="I44" s="308"/>
      <c r="J44" s="308"/>
    </row>
    <row r="45" spans="1:10" s="169" customFormat="1" ht="12.75">
      <c r="A45" s="305"/>
      <c r="B45" s="306"/>
      <c r="C45" s="306"/>
      <c r="D45" s="307"/>
      <c r="E45" s="308"/>
      <c r="F45" s="308"/>
      <c r="G45" s="308"/>
      <c r="H45" s="308"/>
      <c r="I45" s="308"/>
      <c r="J45" s="308"/>
    </row>
    <row r="46" spans="1:10" s="169" customFormat="1" ht="12.75">
      <c r="A46" s="305"/>
      <c r="B46" s="306"/>
      <c r="C46" s="306"/>
      <c r="D46" s="307"/>
      <c r="E46" s="308"/>
      <c r="F46" s="308"/>
      <c r="G46" s="308"/>
      <c r="H46" s="308"/>
      <c r="I46" s="308"/>
      <c r="J46" s="308"/>
    </row>
    <row r="47" spans="1:10" s="169" customFormat="1" ht="12.75">
      <c r="A47" s="305"/>
      <c r="B47" s="306"/>
      <c r="C47" s="306"/>
      <c r="D47" s="307"/>
      <c r="E47" s="308"/>
      <c r="F47" s="308"/>
      <c r="G47" s="308"/>
      <c r="H47" s="308"/>
      <c r="I47" s="308"/>
      <c r="J47" s="308"/>
    </row>
    <row r="48" spans="1:10" s="169" customFormat="1" ht="12.75">
      <c r="A48" s="305"/>
      <c r="B48" s="306"/>
      <c r="C48" s="306"/>
      <c r="D48" s="307"/>
      <c r="E48" s="308"/>
      <c r="F48" s="308"/>
      <c r="G48" s="308"/>
      <c r="H48" s="308"/>
      <c r="I48" s="308"/>
      <c r="J48" s="308"/>
    </row>
    <row r="49" spans="1:10" s="169" customFormat="1" ht="12.75">
      <c r="A49" s="305"/>
      <c r="B49" s="306"/>
      <c r="C49" s="306"/>
      <c r="D49" s="307"/>
      <c r="E49" s="308"/>
      <c r="F49" s="308"/>
      <c r="G49" s="308"/>
      <c r="H49" s="308"/>
      <c r="I49" s="308"/>
      <c r="J49" s="308"/>
    </row>
    <row r="50" spans="1:10" s="169" customFormat="1" ht="12.75">
      <c r="A50" s="305"/>
      <c r="B50" s="306"/>
      <c r="C50" s="306"/>
      <c r="D50" s="307"/>
      <c r="E50" s="308"/>
      <c r="F50" s="308"/>
      <c r="G50" s="308"/>
      <c r="H50" s="308"/>
      <c r="I50" s="308"/>
      <c r="J50" s="308"/>
    </row>
    <row r="51" spans="1:10" s="169" customFormat="1" ht="12.75">
      <c r="A51" s="305"/>
      <c r="B51" s="306"/>
      <c r="C51" s="306"/>
      <c r="D51" s="307"/>
      <c r="E51" s="308"/>
      <c r="F51" s="308"/>
      <c r="G51" s="308"/>
      <c r="H51" s="308"/>
      <c r="I51" s="308"/>
      <c r="J51" s="308"/>
    </row>
    <row r="52" spans="1:10" s="169" customFormat="1" ht="12.75">
      <c r="A52" s="305"/>
      <c r="B52" s="306"/>
      <c r="C52" s="306"/>
      <c r="D52" s="307"/>
      <c r="E52" s="308"/>
      <c r="F52" s="308"/>
      <c r="G52" s="308"/>
      <c r="H52" s="308"/>
      <c r="I52" s="308"/>
      <c r="J52" s="308"/>
    </row>
    <row r="53" spans="1:10" s="169" customFormat="1" ht="12.75">
      <c r="A53" s="305"/>
      <c r="B53" s="306"/>
      <c r="C53" s="306"/>
      <c r="D53" s="307"/>
      <c r="E53" s="308"/>
      <c r="F53" s="308"/>
      <c r="G53" s="308"/>
      <c r="H53" s="308"/>
      <c r="I53" s="308"/>
      <c r="J53" s="308"/>
    </row>
    <row r="54" spans="1:10" s="169" customFormat="1" ht="12.75">
      <c r="A54" s="305"/>
      <c r="B54" s="306"/>
      <c r="C54" s="306"/>
      <c r="D54" s="307"/>
      <c r="E54" s="308"/>
      <c r="F54" s="308"/>
      <c r="G54" s="308"/>
      <c r="H54" s="308"/>
      <c r="I54" s="308"/>
      <c r="J54" s="308"/>
    </row>
    <row r="55" spans="1:10" s="169" customFormat="1" ht="12.75">
      <c r="A55" s="305"/>
      <c r="B55" s="306"/>
      <c r="C55" s="306"/>
      <c r="D55" s="307"/>
      <c r="E55" s="308"/>
      <c r="F55" s="308"/>
      <c r="G55" s="308"/>
      <c r="H55" s="308"/>
      <c r="I55" s="308"/>
      <c r="J55" s="308"/>
    </row>
    <row r="56" spans="1:10" s="169" customFormat="1" ht="12.75">
      <c r="A56" s="305"/>
      <c r="B56" s="306"/>
      <c r="C56" s="306"/>
      <c r="D56" s="307"/>
      <c r="E56" s="308"/>
      <c r="F56" s="308"/>
      <c r="G56" s="308"/>
      <c r="H56" s="308"/>
      <c r="I56" s="308"/>
      <c r="J56" s="308"/>
    </row>
    <row r="57" spans="1:10" s="169" customFormat="1" ht="12.75">
      <c r="A57" s="305"/>
      <c r="B57" s="306"/>
      <c r="C57" s="306"/>
      <c r="D57" s="307"/>
      <c r="E57" s="308"/>
      <c r="F57" s="308"/>
      <c r="G57" s="308"/>
      <c r="H57" s="308"/>
      <c r="I57" s="308"/>
      <c r="J57" s="308"/>
    </row>
    <row r="58" spans="1:10" s="169" customFormat="1" ht="12.75">
      <c r="A58" s="305"/>
      <c r="B58" s="306"/>
      <c r="C58" s="306"/>
      <c r="D58" s="307"/>
      <c r="E58" s="308"/>
      <c r="F58" s="308"/>
      <c r="G58" s="308"/>
      <c r="H58" s="308"/>
      <c r="I58" s="308"/>
      <c r="J58" s="308"/>
    </row>
    <row r="59" spans="1:10" s="169" customFormat="1" ht="12.75">
      <c r="A59" s="305"/>
      <c r="B59" s="306"/>
      <c r="C59" s="306"/>
      <c r="D59" s="307"/>
      <c r="E59" s="308"/>
      <c r="F59" s="308"/>
      <c r="G59" s="308"/>
      <c r="H59" s="308"/>
      <c r="I59" s="308"/>
      <c r="J59" s="308"/>
    </row>
    <row r="60" spans="1:10" s="169" customFormat="1" ht="12.75">
      <c r="A60" s="305"/>
      <c r="B60" s="306"/>
      <c r="C60" s="306"/>
      <c r="D60" s="307"/>
      <c r="E60" s="308"/>
      <c r="F60" s="308"/>
      <c r="G60" s="308"/>
      <c r="H60" s="308"/>
      <c r="I60" s="308"/>
      <c r="J60" s="308"/>
    </row>
    <row r="61" spans="1:10" s="169" customFormat="1" ht="12.75">
      <c r="A61" s="305"/>
      <c r="B61" s="306"/>
      <c r="C61" s="306"/>
      <c r="D61" s="307"/>
      <c r="E61" s="308"/>
      <c r="F61" s="308"/>
      <c r="G61" s="308"/>
      <c r="H61" s="308"/>
      <c r="I61" s="308"/>
      <c r="J61" s="308"/>
    </row>
    <row r="62" spans="1:10" s="169" customFormat="1" ht="12.75">
      <c r="A62" s="305"/>
      <c r="B62" s="306"/>
      <c r="C62" s="306"/>
      <c r="D62" s="307"/>
      <c r="E62" s="308"/>
      <c r="F62" s="308"/>
      <c r="G62" s="308"/>
      <c r="H62" s="308"/>
      <c r="I62" s="308"/>
      <c r="J62" s="308"/>
    </row>
    <row r="63" spans="1:10" s="169" customFormat="1" ht="12.75">
      <c r="A63" s="305"/>
      <c r="B63" s="306"/>
      <c r="C63" s="306"/>
      <c r="D63" s="307"/>
      <c r="E63" s="308"/>
      <c r="F63" s="308"/>
      <c r="G63" s="308"/>
      <c r="H63" s="308"/>
      <c r="I63" s="308"/>
      <c r="J63" s="308"/>
    </row>
    <row r="64" spans="1:10" s="169" customFormat="1" ht="12.75">
      <c r="A64" s="305"/>
      <c r="B64" s="306"/>
      <c r="C64" s="306"/>
      <c r="D64" s="307"/>
      <c r="E64" s="308"/>
      <c r="F64" s="308"/>
      <c r="G64" s="308"/>
      <c r="H64" s="308"/>
      <c r="I64" s="308"/>
      <c r="J64" s="308"/>
    </row>
    <row r="65" spans="1:10" s="169" customFormat="1" ht="12.75">
      <c r="A65" s="305"/>
      <c r="B65" s="306"/>
      <c r="C65" s="306"/>
      <c r="D65" s="307"/>
      <c r="E65" s="308"/>
      <c r="F65" s="308"/>
      <c r="G65" s="308"/>
      <c r="H65" s="308"/>
      <c r="I65" s="308"/>
      <c r="J65" s="308"/>
    </row>
    <row r="66" spans="1:10" s="169" customFormat="1" ht="12.75">
      <c r="A66" s="305"/>
      <c r="B66" s="306"/>
      <c r="C66" s="306"/>
      <c r="D66" s="307"/>
      <c r="E66" s="308"/>
      <c r="F66" s="308"/>
      <c r="G66" s="308"/>
      <c r="H66" s="308"/>
      <c r="I66" s="308"/>
      <c r="J66" s="308"/>
    </row>
    <row r="67" spans="1:10" s="169" customFormat="1" ht="12.75">
      <c r="A67" s="305"/>
      <c r="B67" s="306"/>
      <c r="C67" s="306"/>
      <c r="D67" s="307"/>
      <c r="E67" s="308"/>
      <c r="F67" s="308"/>
      <c r="G67" s="308"/>
      <c r="H67" s="308"/>
      <c r="I67" s="308"/>
      <c r="J67" s="308"/>
    </row>
    <row r="68" spans="1:10" s="169" customFormat="1" ht="12.75">
      <c r="A68" s="305"/>
      <c r="B68" s="306"/>
      <c r="C68" s="306"/>
      <c r="D68" s="307"/>
      <c r="E68" s="308"/>
      <c r="F68" s="308"/>
      <c r="G68" s="308"/>
      <c r="H68" s="308"/>
      <c r="I68" s="308"/>
      <c r="J68" s="308"/>
    </row>
    <row r="69" spans="1:10" s="169" customFormat="1" ht="12.75">
      <c r="A69" s="305"/>
      <c r="B69" s="306"/>
      <c r="C69" s="306"/>
      <c r="D69" s="307"/>
      <c r="E69" s="308"/>
      <c r="F69" s="308"/>
      <c r="G69" s="308"/>
      <c r="H69" s="308"/>
      <c r="I69" s="308"/>
      <c r="J69" s="308"/>
    </row>
    <row r="70" spans="1:10" s="169" customFormat="1" ht="12.75">
      <c r="A70" s="305"/>
      <c r="B70" s="306"/>
      <c r="C70" s="306"/>
      <c r="D70" s="307"/>
      <c r="E70" s="308"/>
      <c r="F70" s="308"/>
      <c r="G70" s="308"/>
      <c r="H70" s="308"/>
      <c r="I70" s="308"/>
      <c r="J70" s="308"/>
    </row>
    <row r="71" spans="1:10" s="169" customFormat="1" ht="12.75">
      <c r="A71" s="305"/>
      <c r="B71" s="306"/>
      <c r="C71" s="306"/>
      <c r="D71" s="307"/>
      <c r="E71" s="308"/>
      <c r="F71" s="308"/>
      <c r="G71" s="308"/>
      <c r="H71" s="308"/>
      <c r="I71" s="308"/>
      <c r="J71" s="308"/>
    </row>
    <row r="72" spans="1:10" s="169" customFormat="1" ht="12.75">
      <c r="A72" s="305"/>
      <c r="B72" s="306"/>
      <c r="C72" s="306"/>
      <c r="D72" s="307"/>
      <c r="E72" s="308"/>
      <c r="F72" s="308"/>
      <c r="G72" s="308"/>
      <c r="H72" s="308"/>
      <c r="I72" s="308"/>
      <c r="J72" s="308"/>
    </row>
    <row r="73" spans="1:10" s="169" customFormat="1" ht="12.75">
      <c r="A73" s="305"/>
      <c r="B73" s="306"/>
      <c r="C73" s="306"/>
      <c r="D73" s="307"/>
      <c r="E73" s="308"/>
      <c r="F73" s="308"/>
      <c r="G73" s="308"/>
      <c r="H73" s="308"/>
      <c r="I73" s="308"/>
      <c r="J73" s="308"/>
    </row>
    <row r="74" spans="1:10" s="169" customFormat="1" ht="12.75">
      <c r="A74" s="305"/>
      <c r="B74" s="306"/>
      <c r="C74" s="306"/>
      <c r="D74" s="307"/>
      <c r="E74" s="308"/>
      <c r="F74" s="308"/>
      <c r="G74" s="308"/>
      <c r="H74" s="308"/>
      <c r="I74" s="308"/>
      <c r="J74" s="308"/>
    </row>
    <row r="75" spans="1:10" s="169" customFormat="1" ht="12.75">
      <c r="A75" s="305"/>
      <c r="B75" s="306"/>
      <c r="C75" s="306"/>
      <c r="D75" s="307"/>
      <c r="E75" s="308"/>
      <c r="F75" s="308"/>
      <c r="G75" s="308"/>
      <c r="H75" s="308"/>
      <c r="I75" s="308"/>
      <c r="J75" s="308"/>
    </row>
    <row r="76" spans="1:10" s="169" customFormat="1" ht="12.75">
      <c r="A76" s="305"/>
      <c r="B76" s="306"/>
      <c r="C76" s="306"/>
      <c r="D76" s="307"/>
      <c r="E76" s="308"/>
      <c r="F76" s="308"/>
      <c r="G76" s="308"/>
      <c r="H76" s="308"/>
      <c r="I76" s="308"/>
      <c r="J76" s="308"/>
    </row>
    <row r="77" spans="1:10" s="169" customFormat="1" ht="12.75">
      <c r="A77" s="305"/>
      <c r="B77" s="306"/>
      <c r="C77" s="306"/>
      <c r="D77" s="307"/>
      <c r="E77" s="308"/>
      <c r="F77" s="308"/>
      <c r="G77" s="308"/>
      <c r="H77" s="308"/>
      <c r="I77" s="308"/>
      <c r="J77" s="308"/>
    </row>
    <row r="78" spans="1:10" s="169" customFormat="1" ht="12.75">
      <c r="A78" s="305"/>
      <c r="B78" s="306"/>
      <c r="C78" s="306"/>
      <c r="D78" s="307"/>
      <c r="E78" s="308"/>
      <c r="F78" s="308"/>
      <c r="G78" s="308"/>
      <c r="H78" s="308"/>
      <c r="I78" s="308"/>
      <c r="J78" s="308"/>
    </row>
    <row r="79" spans="1:10" s="169" customFormat="1" ht="12.75">
      <c r="A79" s="305"/>
      <c r="B79" s="306"/>
      <c r="C79" s="306"/>
      <c r="D79" s="307"/>
      <c r="E79" s="308"/>
      <c r="F79" s="308"/>
      <c r="G79" s="308"/>
      <c r="H79" s="308"/>
      <c r="I79" s="308"/>
      <c r="J79" s="308"/>
    </row>
    <row r="80" spans="1:10" s="169" customFormat="1" ht="12.75">
      <c r="A80" s="305"/>
      <c r="B80" s="306"/>
      <c r="C80" s="306"/>
      <c r="D80" s="307"/>
      <c r="E80" s="308"/>
      <c r="F80" s="308"/>
      <c r="G80" s="308"/>
      <c r="H80" s="308"/>
      <c r="I80" s="308"/>
      <c r="J80" s="308"/>
    </row>
    <row r="81" spans="1:10" s="169" customFormat="1" ht="12.75">
      <c r="A81" s="305"/>
      <c r="B81" s="306"/>
      <c r="C81" s="306"/>
      <c r="D81" s="307"/>
      <c r="E81" s="308"/>
      <c r="F81" s="308"/>
      <c r="G81" s="308"/>
      <c r="H81" s="308"/>
      <c r="I81" s="308"/>
      <c r="J81" s="308"/>
    </row>
    <row r="82" spans="1:10" s="169" customFormat="1" ht="12.75">
      <c r="A82" s="305"/>
      <c r="B82" s="306"/>
      <c r="C82" s="306"/>
      <c r="D82" s="307"/>
      <c r="E82" s="308"/>
      <c r="F82" s="308"/>
      <c r="G82" s="308"/>
      <c r="H82" s="308"/>
      <c r="I82" s="308"/>
      <c r="J82" s="308"/>
    </row>
    <row r="83" spans="1:10" s="169" customFormat="1" ht="12.75">
      <c r="A83" s="305"/>
      <c r="B83" s="306"/>
      <c r="C83" s="306"/>
      <c r="D83" s="307"/>
      <c r="E83" s="308"/>
      <c r="F83" s="308"/>
      <c r="G83" s="308"/>
      <c r="H83" s="308"/>
      <c r="I83" s="308"/>
      <c r="J83" s="308"/>
    </row>
    <row r="84" spans="1:10" s="169" customFormat="1" ht="12.75">
      <c r="A84" s="305"/>
      <c r="B84" s="306"/>
      <c r="C84" s="306"/>
      <c r="D84" s="307"/>
      <c r="E84" s="308"/>
      <c r="F84" s="308"/>
      <c r="G84" s="308"/>
      <c r="H84" s="308"/>
      <c r="I84" s="308"/>
      <c r="J84" s="308"/>
    </row>
    <row r="85" spans="1:10" s="169" customFormat="1" ht="12.75">
      <c r="A85" s="305"/>
      <c r="B85" s="306"/>
      <c r="C85" s="306"/>
      <c r="D85" s="307"/>
      <c r="E85" s="308"/>
      <c r="F85" s="308"/>
      <c r="G85" s="308"/>
      <c r="H85" s="308"/>
      <c r="I85" s="308"/>
      <c r="J85" s="308"/>
    </row>
    <row r="86" spans="1:10" s="169" customFormat="1" ht="12.75">
      <c r="A86" s="305"/>
      <c r="B86" s="306"/>
      <c r="C86" s="306"/>
      <c r="D86" s="307"/>
      <c r="E86" s="308"/>
      <c r="F86" s="308"/>
      <c r="G86" s="308"/>
      <c r="H86" s="308"/>
      <c r="I86" s="308"/>
      <c r="J86" s="308"/>
    </row>
    <row r="87" spans="1:10" s="169" customFormat="1" ht="12.75">
      <c r="A87" s="305"/>
      <c r="B87" s="306"/>
      <c r="C87" s="306"/>
      <c r="D87" s="307"/>
      <c r="E87" s="308"/>
      <c r="F87" s="308"/>
      <c r="G87" s="308"/>
      <c r="H87" s="308"/>
      <c r="I87" s="308"/>
      <c r="J87" s="308"/>
    </row>
    <row r="88" spans="1:10" s="169" customFormat="1" ht="12.75">
      <c r="A88" s="305"/>
      <c r="B88" s="306"/>
      <c r="C88" s="306"/>
      <c r="D88" s="307"/>
      <c r="E88" s="308"/>
      <c r="F88" s="308"/>
      <c r="G88" s="308"/>
      <c r="H88" s="308"/>
      <c r="I88" s="308"/>
      <c r="J88" s="308"/>
    </row>
    <row r="89" spans="1:10" s="169" customFormat="1" ht="12.75">
      <c r="A89" s="305"/>
      <c r="B89" s="306"/>
      <c r="C89" s="306"/>
      <c r="D89" s="307"/>
      <c r="E89" s="308"/>
      <c r="F89" s="308"/>
      <c r="G89" s="308"/>
      <c r="H89" s="308"/>
      <c r="I89" s="308"/>
      <c r="J89" s="308"/>
    </row>
    <row r="90" spans="1:10" s="169" customFormat="1" ht="12.75">
      <c r="A90" s="305"/>
      <c r="B90" s="306"/>
      <c r="C90" s="306"/>
      <c r="D90" s="307"/>
      <c r="E90" s="308"/>
      <c r="F90" s="308"/>
      <c r="G90" s="308"/>
      <c r="H90" s="308"/>
      <c r="I90" s="308"/>
      <c r="J90" s="308"/>
    </row>
    <row r="91" spans="1:10" s="169" customFormat="1" ht="12.75">
      <c r="A91" s="305"/>
      <c r="B91" s="306"/>
      <c r="C91" s="306"/>
      <c r="D91" s="307"/>
      <c r="E91" s="308"/>
      <c r="F91" s="308"/>
      <c r="G91" s="308"/>
      <c r="H91" s="308"/>
      <c r="I91" s="308"/>
      <c r="J91" s="308"/>
    </row>
    <row r="92" spans="1:10" s="169" customFormat="1" ht="12.75">
      <c r="A92" s="305"/>
      <c r="B92" s="306"/>
      <c r="C92" s="306"/>
      <c r="D92" s="307"/>
      <c r="E92" s="308"/>
      <c r="F92" s="308"/>
      <c r="G92" s="308"/>
      <c r="H92" s="308"/>
      <c r="I92" s="308"/>
      <c r="J92" s="308"/>
    </row>
    <row r="93" spans="1:10" s="169" customFormat="1" ht="12.75">
      <c r="A93" s="305"/>
      <c r="B93" s="306"/>
      <c r="C93" s="306"/>
      <c r="D93" s="307"/>
      <c r="E93" s="308"/>
      <c r="F93" s="308"/>
      <c r="G93" s="308"/>
      <c r="H93" s="308"/>
      <c r="I93" s="308"/>
      <c r="J93" s="308"/>
    </row>
    <row r="94" spans="1:10" s="169" customFormat="1" ht="12.75">
      <c r="A94" s="305"/>
      <c r="B94" s="306"/>
      <c r="C94" s="306"/>
      <c r="D94" s="307"/>
      <c r="E94" s="308"/>
      <c r="F94" s="308"/>
      <c r="G94" s="308"/>
      <c r="H94" s="308"/>
      <c r="I94" s="308"/>
      <c r="J94" s="308"/>
    </row>
    <row r="95" spans="1:10" s="169" customFormat="1" ht="12.75">
      <c r="A95" s="305"/>
      <c r="B95" s="306"/>
      <c r="C95" s="306"/>
      <c r="D95" s="307"/>
      <c r="E95" s="308"/>
      <c r="F95" s="308"/>
      <c r="G95" s="308"/>
      <c r="H95" s="308"/>
      <c r="I95" s="308"/>
      <c r="J95" s="308"/>
    </row>
  </sheetData>
  <sheetProtection sheet="1" objects="1" scenarios="1"/>
  <printOptions/>
  <pageMargins left="0.75" right="0.75" top="1" bottom="1" header="0.5" footer="0.5"/>
  <pageSetup blackAndWhite="1" horizontalDpi="240" verticalDpi="240" orientation="landscape" scale="75" r:id="rId3"/>
  <headerFooter alignWithMargins="0">
    <oddHeader>&amp;LGmm Worksheet&amp;R&amp;F</oddHeader>
    <oddFooter>&amp;R&amp;D, &amp;T</oddFooter>
  </headerFooter>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96"/>
  <sheetViews>
    <sheetView zoomScale="75" zoomScaleNormal="75" workbookViewId="0" topLeftCell="A1">
      <selection activeCell="B9" sqref="B9"/>
    </sheetView>
  </sheetViews>
  <sheetFormatPr defaultColWidth="9.140625" defaultRowHeight="12.75"/>
  <cols>
    <col min="1" max="1" width="39.8515625" style="305" customWidth="1"/>
    <col min="2" max="3" width="10.8515625" style="318" customWidth="1"/>
    <col min="4" max="4" width="10.8515625" style="319" customWidth="1"/>
    <col min="5" max="13" width="10.8515625" style="169" customWidth="1"/>
    <col min="14" max="16384" width="9.140625" style="169" customWidth="1"/>
  </cols>
  <sheetData>
    <row r="1" spans="1:13" s="320" customFormat="1" ht="27" customHeight="1" thickBot="1">
      <c r="A1" s="207"/>
      <c r="B1" s="199" t="s">
        <v>47</v>
      </c>
      <c r="C1" s="200"/>
      <c r="D1" s="201"/>
      <c r="E1" s="201"/>
      <c r="F1" s="201"/>
      <c r="G1" s="201"/>
      <c r="H1" s="201"/>
      <c r="I1" s="201"/>
      <c r="J1" s="201"/>
      <c r="K1" s="201"/>
      <c r="L1" s="201"/>
      <c r="M1" s="202"/>
    </row>
    <row r="2" spans="1:13" ht="12.75">
      <c r="A2" s="374">
        <v>2</v>
      </c>
      <c r="B2" s="321"/>
      <c r="C2" s="321"/>
      <c r="D2" s="322"/>
      <c r="E2" s="313"/>
      <c r="F2" s="313"/>
      <c r="G2" s="313"/>
      <c r="H2" s="313"/>
      <c r="I2" s="313"/>
      <c r="J2" s="313"/>
      <c r="K2" s="313"/>
      <c r="L2" s="313"/>
      <c r="M2" s="20"/>
    </row>
    <row r="3" spans="1:13" ht="12.75">
      <c r="A3" s="375"/>
      <c r="B3" s="20"/>
      <c r="C3" s="20"/>
      <c r="D3" s="20"/>
      <c r="E3" s="20"/>
      <c r="F3" s="20"/>
      <c r="G3" s="20"/>
      <c r="H3" s="20"/>
      <c r="I3" s="20"/>
      <c r="J3" s="20"/>
      <c r="K3" s="20"/>
      <c r="L3" s="20"/>
      <c r="M3" s="20"/>
    </row>
    <row r="4" spans="1:13" ht="12.75">
      <c r="A4" s="375"/>
      <c r="B4" s="72" t="str">
        <f>IF(BlendID1="","Blend 1",BlendID1)</f>
        <v>Blend 1</v>
      </c>
      <c r="C4" s="73"/>
      <c r="D4" s="74"/>
      <c r="E4" s="72" t="str">
        <f>IF(BlendID2="","Blend 2",BlendID2)</f>
        <v>Blend 2</v>
      </c>
      <c r="F4" s="73"/>
      <c r="G4" s="74"/>
      <c r="H4" s="72" t="str">
        <f>IF(BlendID3="","Blend 3",BlendID3)</f>
        <v>Blend 3</v>
      </c>
      <c r="I4" s="73"/>
      <c r="J4" s="179"/>
      <c r="K4" s="72" t="str">
        <f>IF(BlendID4="","Blend 4",BlendID4)</f>
        <v>Blend 4</v>
      </c>
      <c r="L4" s="73"/>
      <c r="M4" s="74"/>
    </row>
    <row r="5" spans="1:13" ht="12.75">
      <c r="A5" s="376"/>
      <c r="B5" s="323" t="s">
        <v>1</v>
      </c>
      <c r="C5" s="323" t="s">
        <v>2</v>
      </c>
      <c r="D5" s="323" t="s">
        <v>3</v>
      </c>
      <c r="E5" s="323" t="s">
        <v>1</v>
      </c>
      <c r="F5" s="323" t="s">
        <v>2</v>
      </c>
      <c r="G5" s="323" t="s">
        <v>3</v>
      </c>
      <c r="H5" s="323" t="s">
        <v>1</v>
      </c>
      <c r="I5" s="323" t="s">
        <v>2</v>
      </c>
      <c r="J5" s="323" t="s">
        <v>3</v>
      </c>
      <c r="K5" s="323" t="s">
        <v>1</v>
      </c>
      <c r="L5" s="323" t="s">
        <v>2</v>
      </c>
      <c r="M5" s="323" t="s">
        <v>3</v>
      </c>
    </row>
    <row r="6" spans="1:13" ht="12.75" hidden="1">
      <c r="A6" s="361" t="s">
        <v>48</v>
      </c>
      <c r="B6" s="628"/>
      <c r="C6" s="628"/>
      <c r="D6" s="628"/>
      <c r="E6" s="628"/>
      <c r="F6" s="628"/>
      <c r="G6" s="628"/>
      <c r="H6" s="628"/>
      <c r="I6" s="628"/>
      <c r="J6" s="628"/>
      <c r="K6" s="628"/>
      <c r="L6" s="628"/>
      <c r="M6" s="628"/>
    </row>
    <row r="7" spans="1:13" ht="12.75" hidden="1">
      <c r="A7" s="361" t="s">
        <v>49</v>
      </c>
      <c r="B7" s="628"/>
      <c r="C7" s="628"/>
      <c r="D7" s="628"/>
      <c r="E7" s="628"/>
      <c r="F7" s="628"/>
      <c r="G7" s="628"/>
      <c r="H7" s="628"/>
      <c r="I7" s="628"/>
      <c r="J7" s="628"/>
      <c r="K7" s="628"/>
      <c r="L7" s="628"/>
      <c r="M7" s="628"/>
    </row>
    <row r="8" spans="1:13" ht="12.75" hidden="1">
      <c r="A8" s="361" t="s">
        <v>50</v>
      </c>
      <c r="B8" s="628"/>
      <c r="C8" s="628"/>
      <c r="D8" s="628"/>
      <c r="E8" s="628"/>
      <c r="F8" s="628"/>
      <c r="G8" s="628"/>
      <c r="H8" s="628"/>
      <c r="I8" s="628"/>
      <c r="J8" s="628"/>
      <c r="K8" s="628"/>
      <c r="L8" s="628"/>
      <c r="M8" s="628"/>
    </row>
    <row r="9" spans="1:13" ht="12.75">
      <c r="A9" s="363" t="s">
        <v>51</v>
      </c>
      <c r="B9" s="366"/>
      <c r="C9" s="366"/>
      <c r="D9" s="366"/>
      <c r="E9" s="366"/>
      <c r="F9" s="366"/>
      <c r="G9" s="366"/>
      <c r="H9" s="366"/>
      <c r="I9" s="366"/>
      <c r="J9" s="366"/>
      <c r="K9" s="366"/>
      <c r="L9" s="366"/>
      <c r="M9" s="366"/>
    </row>
    <row r="10" spans="1:13" ht="12.75">
      <c r="A10" s="377" t="s">
        <v>52</v>
      </c>
      <c r="B10" s="208">
        <f>IF(CalculatedGmb=1,IF(ISBLANK(B6),"",B6/(B8-B7)),IF(ISBLANK(B9),"",B9))</f>
      </c>
      <c r="C10" s="208">
        <f>IF(CalculatedGmb=1,IF(ISBLANK(C6),"",C6/(C8-C7)),IF(ISBLANK(C9),"",C9))</f>
      </c>
      <c r="D10" s="208">
        <f>IF(CalculatedGmb=1,IF(ISBLANK(D6),"",D6/(D8-D7)),IF(ISBLANK(D9),"",D9))</f>
      </c>
      <c r="E10" s="208">
        <f aca="true" t="shared" si="0" ref="E10:M10">IF(CalculatedGmb=1,IF(ISBLANK(E6),"",E6/(E8-E7)),IF(ISBLANK(E9),"",E9))</f>
      </c>
      <c r="F10" s="208">
        <f t="shared" si="0"/>
      </c>
      <c r="G10" s="208">
        <f t="shared" si="0"/>
      </c>
      <c r="H10" s="208">
        <f t="shared" si="0"/>
      </c>
      <c r="I10" s="208">
        <f t="shared" si="0"/>
      </c>
      <c r="J10" s="208">
        <f t="shared" si="0"/>
      </c>
      <c r="K10" s="208">
        <f t="shared" si="0"/>
      </c>
      <c r="L10" s="208">
        <f t="shared" si="0"/>
      </c>
      <c r="M10" s="208">
        <f t="shared" si="0"/>
      </c>
    </row>
    <row r="11" spans="1:13" ht="12.75">
      <c r="A11" s="377" t="s">
        <v>53</v>
      </c>
      <c r="B11" s="324">
        <f>AvgGmm1</f>
        <v>0</v>
      </c>
      <c r="C11" s="324">
        <f>AvgGmm1</f>
        <v>0</v>
      </c>
      <c r="D11" s="324">
        <f>AvgGmm1</f>
        <v>0</v>
      </c>
      <c r="E11" s="324">
        <f>AvgGmm2</f>
        <v>0</v>
      </c>
      <c r="F11" s="324">
        <f>AvgGmm2</f>
        <v>0</v>
      </c>
      <c r="G11" s="324">
        <f>AvgGmm2</f>
        <v>0</v>
      </c>
      <c r="H11" s="324">
        <f>AvgGmm3</f>
        <v>0</v>
      </c>
      <c r="I11" s="324">
        <f>AvgGmm3</f>
        <v>0</v>
      </c>
      <c r="J11" s="324">
        <f>AvgGmm3</f>
        <v>0</v>
      </c>
      <c r="K11" s="324">
        <f>AvgGmm4</f>
        <v>0</v>
      </c>
      <c r="L11" s="324">
        <f>AvgGmm4</f>
        <v>0</v>
      </c>
      <c r="M11" s="324">
        <f>AvgGmm4</f>
        <v>0</v>
      </c>
    </row>
    <row r="12" spans="1:13" ht="12.75">
      <c r="A12" s="367" t="s">
        <v>54</v>
      </c>
      <c r="B12" s="209" t="e">
        <f>100*(B10/AvgGmm1)+N("100 * GmbMeas/GmmAvg")</f>
        <v>#VALUE!</v>
      </c>
      <c r="C12" s="209" t="e">
        <f>100*(C10/AvgGmm1)+N("100 * GmbMeas/GmmAvg")</f>
        <v>#VALUE!</v>
      </c>
      <c r="D12" s="209" t="e">
        <f>100*(D10/AvgGmm1)+N("100 * GmbMeas/GmmAvg")</f>
        <v>#VALUE!</v>
      </c>
      <c r="E12" s="209" t="e">
        <f>100*(E10/AvgGmm2)+N("100 * GmbMeas/GmmAvg")</f>
        <v>#VALUE!</v>
      </c>
      <c r="F12" s="209" t="e">
        <f>100*(F10/AvgGmm2)+N("100 * GmbMeas/GmmAvg")</f>
        <v>#VALUE!</v>
      </c>
      <c r="G12" s="209" t="e">
        <f>100*(G10/AvgGmm2)+N("100 * GmbMeas/GmmAvg")</f>
        <v>#VALUE!</v>
      </c>
      <c r="H12" s="209" t="e">
        <f>100*(H10/AvgGmm3)+N("100 * GmbMeas/GmmAvg")</f>
        <v>#VALUE!</v>
      </c>
      <c r="I12" s="209" t="e">
        <f>100*(I10/AvgGmm3)+N("100 * GmbMeas/GmmAvg")</f>
        <v>#VALUE!</v>
      </c>
      <c r="J12" s="209" t="e">
        <f>100*(J10/AvgGmm3)+N("100 * GmbMeas/GmmAvg")</f>
        <v>#VALUE!</v>
      </c>
      <c r="K12" s="209" t="e">
        <f>100*(K10/AvgGmm4)+N("100 * GmbMeas/GmmAvg")</f>
        <v>#VALUE!</v>
      </c>
      <c r="L12" s="209" t="e">
        <f>100*(L10/AvgGmm4)+N("100 * GmbMeas/GmmAvg")</f>
        <v>#VALUE!</v>
      </c>
      <c r="M12" s="209" t="e">
        <f>100*(M10/AvgGmm4)+N("100 * GmbMeas/GmmAvg")</f>
        <v>#VALUE!</v>
      </c>
    </row>
    <row r="13" spans="1:13" ht="12.75">
      <c r="A13" s="378" t="s">
        <v>55</v>
      </c>
      <c r="B13" s="208" t="e">
        <f>100-B12+N("100 - GmmAtNmax")</f>
        <v>#VALUE!</v>
      </c>
      <c r="C13" s="315" t="e">
        <f aca="true" t="shared" si="1" ref="C13:M13">100-C12+N("100 - GmmAtNmax")</f>
        <v>#VALUE!</v>
      </c>
      <c r="D13" s="208" t="e">
        <f t="shared" si="1"/>
        <v>#VALUE!</v>
      </c>
      <c r="E13" s="208" t="e">
        <f t="shared" si="1"/>
        <v>#VALUE!</v>
      </c>
      <c r="F13" s="315" t="e">
        <f t="shared" si="1"/>
        <v>#VALUE!</v>
      </c>
      <c r="G13" s="208" t="e">
        <f t="shared" si="1"/>
        <v>#VALUE!</v>
      </c>
      <c r="H13" s="208" t="e">
        <f t="shared" si="1"/>
        <v>#VALUE!</v>
      </c>
      <c r="I13" s="315" t="e">
        <f t="shared" si="1"/>
        <v>#VALUE!</v>
      </c>
      <c r="J13" s="208" t="e">
        <f t="shared" si="1"/>
        <v>#VALUE!</v>
      </c>
      <c r="K13" s="208" t="e">
        <f t="shared" si="1"/>
        <v>#VALUE!</v>
      </c>
      <c r="L13" s="315" t="e">
        <f t="shared" si="1"/>
        <v>#VALUE!</v>
      </c>
      <c r="M13" s="208" t="e">
        <f t="shared" si="1"/>
        <v>#VALUE!</v>
      </c>
    </row>
    <row r="14" spans="1:13" ht="12.75">
      <c r="A14" s="20"/>
      <c r="B14" s="19"/>
      <c r="C14" s="89"/>
      <c r="D14" s="89"/>
      <c r="E14" s="89"/>
      <c r="F14" s="89"/>
      <c r="G14" s="89"/>
      <c r="H14" s="89"/>
      <c r="I14" s="89"/>
      <c r="J14" s="89"/>
      <c r="K14" s="89"/>
      <c r="L14" s="89"/>
      <c r="M14" s="89"/>
    </row>
    <row r="15" spans="1:13" ht="12.75" hidden="1">
      <c r="A15" s="361" t="s">
        <v>56</v>
      </c>
      <c r="B15" s="362" t="e">
        <f>Mass11/(FindHeight(1,1,NMAX)*AREA/1000)</f>
        <v>#VALUE!</v>
      </c>
      <c r="C15" s="362" t="e">
        <f>Mass12/(FindHeight(1,2,NMAX)*AREA/1000)</f>
        <v>#VALUE!</v>
      </c>
      <c r="D15" s="362" t="e">
        <f>Mass13/(FindHeight(1,3,NMAX)*AREA/1000)</f>
        <v>#VALUE!</v>
      </c>
      <c r="E15" s="362" t="e">
        <f>Mass21/(FindHeight(2,1,NMAX)*AREA/1000)</f>
        <v>#VALUE!</v>
      </c>
      <c r="F15" s="362" t="e">
        <f>Mass22/(FindHeight(2,2,NMAX)*AREA/1000)</f>
        <v>#VALUE!</v>
      </c>
      <c r="G15" s="362" t="e">
        <f>Mass23/(FindHeight(2,3,NMAX)*AREA/1000)</f>
        <v>#VALUE!</v>
      </c>
      <c r="H15" s="362" t="e">
        <f>Mass31/(FindHeight(3,1,NMAX)*AREA/1000)</f>
        <v>#VALUE!</v>
      </c>
      <c r="I15" s="362" t="e">
        <f>Mass32/(FindHeight(3,2,NMAX)*AREA/1000)</f>
        <v>#VALUE!</v>
      </c>
      <c r="J15" s="362" t="e">
        <f>Mass33/(FindHeight(3,3,NMAX)*AREA/1000)</f>
        <v>#VALUE!</v>
      </c>
      <c r="K15" s="362" t="e">
        <f>Mass41/(FindHeight(4,1,NMAX)*AREA/1000)</f>
        <v>#VALUE!</v>
      </c>
      <c r="L15" s="362" t="e">
        <f>Mass42/(FindHeight(4,2,NMAX)*AREA/1000)</f>
        <v>#VALUE!</v>
      </c>
      <c r="M15" s="362" t="e">
        <f>Mass43/(FindHeight(4,3,NMAX)*AREA/1000)</f>
        <v>#VALUE!</v>
      </c>
    </row>
    <row r="16" spans="1:13" ht="12.75">
      <c r="A16" s="379"/>
      <c r="B16" s="89"/>
      <c r="C16" s="89"/>
      <c r="D16" s="89"/>
      <c r="E16" s="89"/>
      <c r="F16" s="89"/>
      <c r="G16" s="89"/>
      <c r="H16" s="89"/>
      <c r="I16" s="89"/>
      <c r="J16" s="89"/>
      <c r="K16" s="89"/>
      <c r="L16" s="89"/>
      <c r="M16" s="89"/>
    </row>
    <row r="17" spans="1:13" ht="12.75">
      <c r="A17" s="379"/>
      <c r="B17" s="21"/>
      <c r="C17" s="211"/>
      <c r="D17" s="20"/>
      <c r="E17" s="325"/>
      <c r="F17" s="20"/>
      <c r="G17" s="22"/>
      <c r="H17" s="25"/>
      <c r="I17" s="25"/>
      <c r="J17" s="25"/>
      <c r="K17" s="20"/>
      <c r="L17" s="20"/>
      <c r="M17" s="20"/>
    </row>
    <row r="18" spans="1:13" ht="12.75">
      <c r="A18" s="380" t="s">
        <v>44</v>
      </c>
      <c r="B18" s="21"/>
      <c r="C18" s="211"/>
      <c r="D18" s="20"/>
      <c r="E18" s="22"/>
      <c r="F18" s="20"/>
      <c r="G18" s="22"/>
      <c r="H18" s="25"/>
      <c r="I18" s="25"/>
      <c r="J18" s="25"/>
      <c r="K18" s="20"/>
      <c r="L18" s="20"/>
      <c r="M18" s="20"/>
    </row>
    <row r="19" spans="1:13" ht="12.75">
      <c r="A19" s="372" t="s">
        <v>57</v>
      </c>
      <c r="B19" s="19"/>
      <c r="C19" s="211"/>
      <c r="D19" s="19"/>
      <c r="E19" s="326"/>
      <c r="F19" s="23"/>
      <c r="G19" s="22"/>
      <c r="H19" s="20"/>
      <c r="I19" s="20"/>
      <c r="J19" s="20"/>
      <c r="K19" s="20"/>
      <c r="L19" s="20"/>
      <c r="M19" s="20"/>
    </row>
    <row r="20" spans="1:13" ht="12.75">
      <c r="A20" s="373" t="s">
        <v>58</v>
      </c>
      <c r="B20" s="19"/>
      <c r="C20" s="19"/>
      <c r="D20" s="19"/>
      <c r="E20" s="19"/>
      <c r="F20" s="19"/>
      <c r="G20" s="25"/>
      <c r="H20" s="20"/>
      <c r="I20" s="20"/>
      <c r="J20" s="20"/>
      <c r="K20" s="20"/>
      <c r="L20" s="20"/>
      <c r="M20" s="20"/>
    </row>
    <row r="21" spans="1:13" ht="12.75">
      <c r="A21" s="20"/>
      <c r="B21" s="20"/>
      <c r="C21" s="20"/>
      <c r="D21" s="20"/>
      <c r="E21" s="20"/>
      <c r="F21" s="20"/>
      <c r="G21" s="20"/>
      <c r="H21" s="20"/>
      <c r="I21" s="20"/>
      <c r="J21" s="20"/>
      <c r="K21" s="20"/>
      <c r="L21" s="20"/>
      <c r="M21" s="20"/>
    </row>
    <row r="22" spans="1:13" ht="12.75">
      <c r="A22" s="20"/>
      <c r="B22" s="20"/>
      <c r="C22" s="20"/>
      <c r="D22" s="20"/>
      <c r="E22" s="20"/>
      <c r="F22" s="20"/>
      <c r="G22" s="20"/>
      <c r="H22" s="20"/>
      <c r="I22" s="20"/>
      <c r="J22" s="20"/>
      <c r="K22" s="20"/>
      <c r="L22" s="20"/>
      <c r="M22" s="20"/>
    </row>
    <row r="23" spans="1:13" ht="12.75">
      <c r="A23" s="20"/>
      <c r="B23" s="20"/>
      <c r="C23" s="20"/>
      <c r="D23" s="20"/>
      <c r="E23" s="20"/>
      <c r="F23" s="20"/>
      <c r="G23" s="20"/>
      <c r="H23" s="20"/>
      <c r="I23" s="20"/>
      <c r="J23" s="20"/>
      <c r="K23" s="20"/>
      <c r="L23" s="20"/>
      <c r="M23" s="20"/>
    </row>
    <row r="24" spans="1:13" ht="12.75">
      <c r="A24" s="20"/>
      <c r="B24" s="20"/>
      <c r="C24" s="20"/>
      <c r="D24" s="20"/>
      <c r="E24" s="20"/>
      <c r="F24" s="20"/>
      <c r="G24" s="20"/>
      <c r="H24" s="20"/>
      <c r="I24" s="20"/>
      <c r="J24" s="20"/>
      <c r="K24" s="20"/>
      <c r="L24" s="20"/>
      <c r="M24" s="20"/>
    </row>
    <row r="25" spans="1:4" ht="12.75">
      <c r="A25" s="169"/>
      <c r="B25" s="169"/>
      <c r="C25" s="169"/>
      <c r="D25" s="169"/>
    </row>
    <row r="26" spans="1:4" ht="12.75">
      <c r="A26" s="169"/>
      <c r="B26" s="169"/>
      <c r="C26" s="169"/>
      <c r="D26"/>
    </row>
    <row r="27" spans="1:4" ht="12.75">
      <c r="A27" s="169"/>
      <c r="B27" s="169"/>
      <c r="C27" s="169"/>
      <c r="D27"/>
    </row>
    <row r="28" spans="1:4" ht="12.75">
      <c r="A28" s="169"/>
      <c r="B28" s="169"/>
      <c r="C28" s="169"/>
      <c r="D28"/>
    </row>
    <row r="29" spans="1:4" ht="12.75">
      <c r="A29" s="169"/>
      <c r="B29" s="169"/>
      <c r="C29" s="169"/>
      <c r="D29" s="169"/>
    </row>
    <row r="30" spans="1:4" ht="12.75">
      <c r="A30" s="169"/>
      <c r="B30" s="169"/>
      <c r="C30" s="169"/>
      <c r="D30" s="169"/>
    </row>
    <row r="31" spans="1:4" ht="12.75">
      <c r="A31" s="169"/>
      <c r="B31" s="169"/>
      <c r="C31" s="169"/>
      <c r="D31" s="169"/>
    </row>
    <row r="32" spans="1:4" ht="12.75">
      <c r="A32" s="169"/>
      <c r="B32" s="169"/>
      <c r="C32" s="169"/>
      <c r="D32" s="169"/>
    </row>
    <row r="33" spans="1:4" ht="12.75">
      <c r="A33" s="169"/>
      <c r="B33" s="169"/>
      <c r="C33" s="169"/>
      <c r="D33" s="169"/>
    </row>
    <row r="34" spans="1:4" ht="12.75">
      <c r="A34" s="169"/>
      <c r="B34" s="169"/>
      <c r="C34" s="169"/>
      <c r="D34" s="169"/>
    </row>
    <row r="35" spans="1:4" ht="12.75">
      <c r="A35" s="169"/>
      <c r="B35" s="169"/>
      <c r="C35" s="169"/>
      <c r="D35" s="169"/>
    </row>
    <row r="36" spans="1:4" ht="12.75">
      <c r="A36" s="169"/>
      <c r="B36" s="169"/>
      <c r="C36" s="169"/>
      <c r="D36" s="169"/>
    </row>
    <row r="37" spans="1:4" ht="12.75">
      <c r="A37" s="169"/>
      <c r="B37" s="169"/>
      <c r="C37" s="169"/>
      <c r="D37" s="169"/>
    </row>
    <row r="38" spans="1:4" ht="12.75">
      <c r="A38" s="169"/>
      <c r="B38" s="169"/>
      <c r="C38" s="169"/>
      <c r="D38" s="169"/>
    </row>
    <row r="39" spans="1:4" ht="12.75">
      <c r="A39" s="169"/>
      <c r="B39" s="169"/>
      <c r="C39" s="169"/>
      <c r="D39" s="169"/>
    </row>
    <row r="40" spans="1:4" ht="12.75">
      <c r="A40" s="169"/>
      <c r="B40" s="169"/>
      <c r="C40" s="169"/>
      <c r="D40" s="169"/>
    </row>
    <row r="41" spans="1:4" ht="12.75">
      <c r="A41" s="169"/>
      <c r="B41" s="169"/>
      <c r="C41" s="169"/>
      <c r="D41" s="169"/>
    </row>
    <row r="42" spans="1:4" ht="12.75">
      <c r="A42" s="169"/>
      <c r="B42" s="169"/>
      <c r="C42" s="169"/>
      <c r="D42" s="169"/>
    </row>
    <row r="43" spans="1:4" ht="12.75">
      <c r="A43" s="169"/>
      <c r="B43" s="169"/>
      <c r="C43" s="169"/>
      <c r="D43" s="169"/>
    </row>
    <row r="44" spans="1:4" ht="12.75">
      <c r="A44" s="169"/>
      <c r="B44" s="169"/>
      <c r="C44" s="169"/>
      <c r="D44" s="169"/>
    </row>
    <row r="45" spans="2:10" ht="12.75">
      <c r="B45" s="306"/>
      <c r="C45" s="306"/>
      <c r="D45" s="307"/>
      <c r="E45" s="308"/>
      <c r="F45" s="308"/>
      <c r="G45" s="308"/>
      <c r="H45" s="308"/>
      <c r="I45" s="308"/>
      <c r="J45" s="308"/>
    </row>
    <row r="46" spans="2:10" ht="12.75">
      <c r="B46" s="306"/>
      <c r="C46" s="306"/>
      <c r="D46" s="307"/>
      <c r="E46" s="308"/>
      <c r="F46" s="308"/>
      <c r="G46" s="308"/>
      <c r="H46" s="308"/>
      <c r="I46" s="308"/>
      <c r="J46" s="308"/>
    </row>
    <row r="47" spans="2:10" ht="12.75">
      <c r="B47" s="306"/>
      <c r="C47" s="306"/>
      <c r="D47" s="307"/>
      <c r="E47" s="308"/>
      <c r="F47" s="308"/>
      <c r="G47" s="308"/>
      <c r="H47" s="308"/>
      <c r="I47" s="308"/>
      <c r="J47" s="308"/>
    </row>
    <row r="48" spans="2:10" ht="12.75">
      <c r="B48" s="306"/>
      <c r="C48" s="306"/>
      <c r="D48" s="307"/>
      <c r="E48" s="308"/>
      <c r="F48" s="308"/>
      <c r="G48" s="308"/>
      <c r="H48" s="308"/>
      <c r="I48" s="308"/>
      <c r="J48" s="308"/>
    </row>
    <row r="49" spans="2:10" ht="12.75">
      <c r="B49" s="306"/>
      <c r="C49" s="306"/>
      <c r="D49" s="307"/>
      <c r="E49" s="308"/>
      <c r="F49" s="308"/>
      <c r="G49" s="308"/>
      <c r="H49" s="308"/>
      <c r="I49" s="308"/>
      <c r="J49" s="308"/>
    </row>
    <row r="50" spans="2:10" ht="12.75">
      <c r="B50" s="306"/>
      <c r="C50" s="306"/>
      <c r="D50" s="307"/>
      <c r="E50" s="308"/>
      <c r="F50" s="308"/>
      <c r="G50" s="308"/>
      <c r="H50" s="308"/>
      <c r="I50" s="308"/>
      <c r="J50" s="308"/>
    </row>
    <row r="51" spans="2:10" ht="12.75">
      <c r="B51" s="306"/>
      <c r="C51" s="306"/>
      <c r="D51" s="307"/>
      <c r="E51" s="308"/>
      <c r="F51" s="308"/>
      <c r="G51" s="308"/>
      <c r="H51" s="308"/>
      <c r="I51" s="308"/>
      <c r="J51" s="308"/>
    </row>
    <row r="52" spans="2:10" ht="12.75">
      <c r="B52" s="306"/>
      <c r="C52" s="306"/>
      <c r="D52" s="307"/>
      <c r="E52" s="308"/>
      <c r="F52" s="308"/>
      <c r="G52" s="308"/>
      <c r="H52" s="308"/>
      <c r="I52" s="308"/>
      <c r="J52" s="308"/>
    </row>
    <row r="53" spans="2:10" ht="12.75">
      <c r="B53" s="306"/>
      <c r="C53" s="306"/>
      <c r="D53" s="307"/>
      <c r="E53" s="308"/>
      <c r="F53" s="308"/>
      <c r="G53" s="308"/>
      <c r="H53" s="308"/>
      <c r="I53" s="308"/>
      <c r="J53" s="308"/>
    </row>
    <row r="54" spans="2:10" ht="12.75">
      <c r="B54" s="306"/>
      <c r="C54" s="306"/>
      <c r="D54" s="307"/>
      <c r="E54" s="308"/>
      <c r="F54" s="308"/>
      <c r="G54" s="308"/>
      <c r="H54" s="308"/>
      <c r="I54" s="308"/>
      <c r="J54" s="308"/>
    </row>
    <row r="55" spans="2:10" ht="12.75">
      <c r="B55" s="306"/>
      <c r="C55" s="306"/>
      <c r="D55" s="307"/>
      <c r="E55" s="308"/>
      <c r="F55" s="308"/>
      <c r="G55" s="308"/>
      <c r="H55" s="308"/>
      <c r="I55" s="308"/>
      <c r="J55" s="308"/>
    </row>
    <row r="56" spans="2:10" ht="12.75">
      <c r="B56" s="306"/>
      <c r="C56" s="306"/>
      <c r="D56" s="307"/>
      <c r="E56" s="308"/>
      <c r="F56" s="308"/>
      <c r="G56" s="308"/>
      <c r="H56" s="308"/>
      <c r="I56" s="308"/>
      <c r="J56" s="308"/>
    </row>
    <row r="57" spans="2:10" ht="12.75">
      <c r="B57" s="306"/>
      <c r="C57" s="306"/>
      <c r="D57" s="307"/>
      <c r="E57" s="308"/>
      <c r="F57" s="308"/>
      <c r="G57" s="308"/>
      <c r="H57" s="308"/>
      <c r="I57" s="308"/>
      <c r="J57" s="308"/>
    </row>
    <row r="58" spans="2:10" ht="12.75">
      <c r="B58" s="306"/>
      <c r="C58" s="306"/>
      <c r="D58" s="307"/>
      <c r="E58" s="308"/>
      <c r="F58" s="308"/>
      <c r="G58" s="308"/>
      <c r="H58" s="308"/>
      <c r="I58" s="308"/>
      <c r="J58" s="308"/>
    </row>
    <row r="59" spans="2:10" ht="12.75">
      <c r="B59" s="306"/>
      <c r="C59" s="306"/>
      <c r="D59" s="307"/>
      <c r="E59" s="308"/>
      <c r="F59" s="308"/>
      <c r="G59" s="308"/>
      <c r="H59" s="308"/>
      <c r="I59" s="308"/>
      <c r="J59" s="308"/>
    </row>
    <row r="60" spans="2:10" ht="12.75">
      <c r="B60" s="306"/>
      <c r="C60" s="306"/>
      <c r="D60" s="307"/>
      <c r="E60" s="308"/>
      <c r="F60" s="308"/>
      <c r="G60" s="308"/>
      <c r="H60" s="308"/>
      <c r="I60" s="308"/>
      <c r="J60" s="308"/>
    </row>
    <row r="61" spans="2:10" ht="12.75">
      <c r="B61" s="306"/>
      <c r="C61" s="306"/>
      <c r="D61" s="307"/>
      <c r="E61" s="308"/>
      <c r="F61" s="308"/>
      <c r="G61" s="308"/>
      <c r="H61" s="308"/>
      <c r="I61" s="308"/>
      <c r="J61" s="308"/>
    </row>
    <row r="62" spans="2:10" ht="12.75">
      <c r="B62" s="306"/>
      <c r="C62" s="306"/>
      <c r="D62" s="307"/>
      <c r="E62" s="308"/>
      <c r="F62" s="308"/>
      <c r="G62" s="308"/>
      <c r="H62" s="308"/>
      <c r="I62" s="308"/>
      <c r="J62" s="308"/>
    </row>
    <row r="63" spans="2:10" ht="12.75">
      <c r="B63" s="306"/>
      <c r="C63" s="306"/>
      <c r="D63" s="307"/>
      <c r="E63" s="308"/>
      <c r="F63" s="308"/>
      <c r="G63" s="308"/>
      <c r="H63" s="308"/>
      <c r="I63" s="308"/>
      <c r="J63" s="308"/>
    </row>
    <row r="64" spans="2:10" ht="12.75">
      <c r="B64" s="306"/>
      <c r="C64" s="306"/>
      <c r="D64" s="307"/>
      <c r="E64" s="308"/>
      <c r="F64" s="308"/>
      <c r="G64" s="308"/>
      <c r="H64" s="308"/>
      <c r="I64" s="308"/>
      <c r="J64" s="308"/>
    </row>
    <row r="65" spans="2:10" ht="12.75">
      <c r="B65" s="306"/>
      <c r="C65" s="306"/>
      <c r="D65" s="307"/>
      <c r="E65" s="308"/>
      <c r="F65" s="308"/>
      <c r="G65" s="308"/>
      <c r="H65" s="308"/>
      <c r="I65" s="308"/>
      <c r="J65" s="308"/>
    </row>
    <row r="66" spans="2:10" ht="12.75">
      <c r="B66" s="306"/>
      <c r="C66" s="306"/>
      <c r="D66" s="307"/>
      <c r="E66" s="308"/>
      <c r="F66" s="308"/>
      <c r="G66" s="308"/>
      <c r="H66" s="308"/>
      <c r="I66" s="308"/>
      <c r="J66" s="308"/>
    </row>
    <row r="67" spans="2:10" ht="12.75">
      <c r="B67" s="306"/>
      <c r="C67" s="306"/>
      <c r="D67" s="307"/>
      <c r="E67" s="308"/>
      <c r="F67" s="308"/>
      <c r="G67" s="308"/>
      <c r="H67" s="308"/>
      <c r="I67" s="308"/>
      <c r="J67" s="308"/>
    </row>
    <row r="68" spans="2:10" ht="12.75">
      <c r="B68" s="306"/>
      <c r="C68" s="306"/>
      <c r="D68" s="307"/>
      <c r="E68" s="308"/>
      <c r="F68" s="308"/>
      <c r="G68" s="308"/>
      <c r="H68" s="308"/>
      <c r="I68" s="308"/>
      <c r="J68" s="308"/>
    </row>
    <row r="69" spans="2:10" ht="12.75">
      <c r="B69" s="306"/>
      <c r="C69" s="306"/>
      <c r="D69" s="307"/>
      <c r="E69" s="308"/>
      <c r="F69" s="308"/>
      <c r="G69" s="308"/>
      <c r="H69" s="308"/>
      <c r="I69" s="308"/>
      <c r="J69" s="308"/>
    </row>
    <row r="70" spans="2:10" ht="12.75">
      <c r="B70" s="306"/>
      <c r="C70" s="306"/>
      <c r="D70" s="307"/>
      <c r="E70" s="308"/>
      <c r="F70" s="308"/>
      <c r="G70" s="308"/>
      <c r="H70" s="308"/>
      <c r="I70" s="308"/>
      <c r="J70" s="308"/>
    </row>
    <row r="71" spans="2:10" ht="12.75">
      <c r="B71" s="306"/>
      <c r="C71" s="306"/>
      <c r="D71" s="307"/>
      <c r="E71" s="308"/>
      <c r="F71" s="308"/>
      <c r="G71" s="308"/>
      <c r="H71" s="308"/>
      <c r="I71" s="308"/>
      <c r="J71" s="308"/>
    </row>
    <row r="72" spans="2:10" ht="12.75">
      <c r="B72" s="306"/>
      <c r="C72" s="306"/>
      <c r="D72" s="307"/>
      <c r="E72" s="308"/>
      <c r="F72" s="308"/>
      <c r="G72" s="308"/>
      <c r="H72" s="308"/>
      <c r="I72" s="308"/>
      <c r="J72" s="308"/>
    </row>
    <row r="73" spans="2:10" ht="12.75">
      <c r="B73" s="306"/>
      <c r="C73" s="306"/>
      <c r="D73" s="307"/>
      <c r="E73" s="308"/>
      <c r="F73" s="308"/>
      <c r="G73" s="308"/>
      <c r="H73" s="308"/>
      <c r="I73" s="308"/>
      <c r="J73" s="308"/>
    </row>
    <row r="74" spans="2:10" ht="12.75">
      <c r="B74" s="306"/>
      <c r="C74" s="306"/>
      <c r="D74" s="307"/>
      <c r="E74" s="308"/>
      <c r="F74" s="308"/>
      <c r="G74" s="308"/>
      <c r="H74" s="308"/>
      <c r="I74" s="308"/>
      <c r="J74" s="308"/>
    </row>
    <row r="75" spans="2:10" ht="12.75">
      <c r="B75" s="306"/>
      <c r="C75" s="306"/>
      <c r="D75" s="307"/>
      <c r="E75" s="308"/>
      <c r="F75" s="308"/>
      <c r="G75" s="308"/>
      <c r="H75" s="308"/>
      <c r="I75" s="308"/>
      <c r="J75" s="308"/>
    </row>
    <row r="76" spans="2:10" ht="12.75">
      <c r="B76" s="306"/>
      <c r="C76" s="306"/>
      <c r="D76" s="307"/>
      <c r="E76" s="308"/>
      <c r="F76" s="308"/>
      <c r="G76" s="308"/>
      <c r="H76" s="308"/>
      <c r="I76" s="308"/>
      <c r="J76" s="308"/>
    </row>
    <row r="77" spans="2:10" ht="12.75">
      <c r="B77" s="306"/>
      <c r="C77" s="306"/>
      <c r="D77" s="307"/>
      <c r="E77" s="308"/>
      <c r="F77" s="308"/>
      <c r="G77" s="308"/>
      <c r="H77" s="308"/>
      <c r="I77" s="308"/>
      <c r="J77" s="308"/>
    </row>
    <row r="78" spans="2:10" ht="12.75">
      <c r="B78" s="306"/>
      <c r="C78" s="306"/>
      <c r="D78" s="307"/>
      <c r="E78" s="308"/>
      <c r="F78" s="308"/>
      <c r="G78" s="308"/>
      <c r="H78" s="308"/>
      <c r="I78" s="308"/>
      <c r="J78" s="308"/>
    </row>
    <row r="79" spans="2:10" ht="12.75">
      <c r="B79" s="306"/>
      <c r="C79" s="306"/>
      <c r="D79" s="307"/>
      <c r="E79" s="308"/>
      <c r="F79" s="308"/>
      <c r="G79" s="308"/>
      <c r="H79" s="308"/>
      <c r="I79" s="308"/>
      <c r="J79" s="308"/>
    </row>
    <row r="80" spans="2:10" ht="12.75">
      <c r="B80" s="306"/>
      <c r="C80" s="306"/>
      <c r="D80" s="307"/>
      <c r="E80" s="308"/>
      <c r="F80" s="308"/>
      <c r="G80" s="308"/>
      <c r="H80" s="308"/>
      <c r="I80" s="308"/>
      <c r="J80" s="308"/>
    </row>
    <row r="81" spans="2:10" ht="12.75">
      <c r="B81" s="306"/>
      <c r="C81" s="306"/>
      <c r="D81" s="307"/>
      <c r="E81" s="308"/>
      <c r="F81" s="308"/>
      <c r="G81" s="308"/>
      <c r="H81" s="308"/>
      <c r="I81" s="308"/>
      <c r="J81" s="308"/>
    </row>
    <row r="82" spans="2:10" ht="12.75">
      <c r="B82" s="306"/>
      <c r="C82" s="306"/>
      <c r="D82" s="307"/>
      <c r="E82" s="308"/>
      <c r="F82" s="308"/>
      <c r="G82" s="308"/>
      <c r="H82" s="308"/>
      <c r="I82" s="308"/>
      <c r="J82" s="308"/>
    </row>
    <row r="83" spans="2:10" ht="12.75">
      <c r="B83" s="306"/>
      <c r="C83" s="306"/>
      <c r="D83" s="307"/>
      <c r="E83" s="308"/>
      <c r="F83" s="308"/>
      <c r="G83" s="308"/>
      <c r="H83" s="308"/>
      <c r="I83" s="308"/>
      <c r="J83" s="308"/>
    </row>
    <row r="84" spans="2:10" ht="12.75">
      <c r="B84" s="306"/>
      <c r="C84" s="306"/>
      <c r="D84" s="307"/>
      <c r="E84" s="308"/>
      <c r="F84" s="308"/>
      <c r="G84" s="308"/>
      <c r="H84" s="308"/>
      <c r="I84" s="308"/>
      <c r="J84" s="308"/>
    </row>
    <row r="85" spans="2:10" ht="12.75">
      <c r="B85" s="306"/>
      <c r="C85" s="306"/>
      <c r="D85" s="307"/>
      <c r="E85" s="308"/>
      <c r="F85" s="308"/>
      <c r="G85" s="308"/>
      <c r="H85" s="308"/>
      <c r="I85" s="308"/>
      <c r="J85" s="308"/>
    </row>
    <row r="86" spans="2:10" ht="12.75">
      <c r="B86" s="306"/>
      <c r="C86" s="306"/>
      <c r="D86" s="307"/>
      <c r="E86" s="308"/>
      <c r="F86" s="308"/>
      <c r="G86" s="308"/>
      <c r="H86" s="308"/>
      <c r="I86" s="308"/>
      <c r="J86" s="308"/>
    </row>
    <row r="87" spans="2:10" ht="12.75">
      <c r="B87" s="306"/>
      <c r="C87" s="306"/>
      <c r="D87" s="307"/>
      <c r="E87" s="308"/>
      <c r="F87" s="308"/>
      <c r="G87" s="308"/>
      <c r="H87" s="308"/>
      <c r="I87" s="308"/>
      <c r="J87" s="308"/>
    </row>
    <row r="88" spans="2:10" ht="12.75">
      <c r="B88" s="306"/>
      <c r="C88" s="306"/>
      <c r="D88" s="307"/>
      <c r="E88" s="308"/>
      <c r="F88" s="308"/>
      <c r="G88" s="308"/>
      <c r="H88" s="308"/>
      <c r="I88" s="308"/>
      <c r="J88" s="308"/>
    </row>
    <row r="89" spans="2:10" ht="12.75">
      <c r="B89" s="306"/>
      <c r="C89" s="306"/>
      <c r="D89" s="307"/>
      <c r="E89" s="308"/>
      <c r="F89" s="308"/>
      <c r="G89" s="308"/>
      <c r="H89" s="308"/>
      <c r="I89" s="308"/>
      <c r="J89" s="308"/>
    </row>
    <row r="90" spans="2:10" ht="12.75">
      <c r="B90" s="306"/>
      <c r="C90" s="306"/>
      <c r="D90" s="307"/>
      <c r="E90" s="308"/>
      <c r="F90" s="308"/>
      <c r="G90" s="308"/>
      <c r="H90" s="308"/>
      <c r="I90" s="308"/>
      <c r="J90" s="308"/>
    </row>
    <row r="91" spans="2:10" ht="12.75">
      <c r="B91" s="306"/>
      <c r="C91" s="306"/>
      <c r="D91" s="307"/>
      <c r="E91" s="308"/>
      <c r="F91" s="308"/>
      <c r="G91" s="308"/>
      <c r="H91" s="308"/>
      <c r="I91" s="308"/>
      <c r="J91" s="308"/>
    </row>
    <row r="92" spans="2:10" ht="12.75">
      <c r="B92" s="306"/>
      <c r="C92" s="306"/>
      <c r="D92" s="307"/>
      <c r="E92" s="308"/>
      <c r="F92" s="308"/>
      <c r="G92" s="308"/>
      <c r="H92" s="308"/>
      <c r="I92" s="308"/>
      <c r="J92" s="308"/>
    </row>
    <row r="93" spans="2:10" ht="12.75">
      <c r="B93" s="306"/>
      <c r="C93" s="306"/>
      <c r="D93" s="307"/>
      <c r="E93" s="308"/>
      <c r="F93" s="308"/>
      <c r="G93" s="308"/>
      <c r="H93" s="308"/>
      <c r="I93" s="308"/>
      <c r="J93" s="308"/>
    </row>
    <row r="94" spans="2:10" ht="12.75">
      <c r="B94" s="306"/>
      <c r="C94" s="306"/>
      <c r="D94" s="307"/>
      <c r="E94" s="308"/>
      <c r="F94" s="308"/>
      <c r="G94" s="308"/>
      <c r="H94" s="308"/>
      <c r="I94" s="308"/>
      <c r="J94" s="308"/>
    </row>
    <row r="95" spans="2:10" ht="12.75">
      <c r="B95" s="306"/>
      <c r="C95" s="306"/>
      <c r="D95" s="307"/>
      <c r="E95" s="308"/>
      <c r="F95" s="308"/>
      <c r="G95" s="308"/>
      <c r="H95" s="308"/>
      <c r="I95" s="308"/>
      <c r="J95" s="308"/>
    </row>
    <row r="96" spans="2:10" ht="12.75">
      <c r="B96" s="306"/>
      <c r="C96" s="306"/>
      <c r="D96" s="307"/>
      <c r="E96" s="308"/>
      <c r="F96" s="308"/>
      <c r="G96" s="308"/>
      <c r="H96" s="308"/>
      <c r="I96" s="308"/>
      <c r="J96" s="308"/>
    </row>
  </sheetData>
  <sheetProtection sheet="1" objects="1" scenarios="1"/>
  <printOptions/>
  <pageMargins left="0.75" right="0.75" top="1" bottom="1" header="0.5" footer="0.5"/>
  <pageSetup blackAndWhite="1" fitToHeight="1" fitToWidth="1" horizontalDpi="240" verticalDpi="240" orientation="landscape" scale="72" r:id="rId3"/>
  <headerFooter alignWithMargins="0">
    <oddHeader>&amp;LGmb Worksheet&amp;R&amp;F</oddHeader>
    <oddFooter>&amp;R&amp;D, &amp;T</oddFooter>
  </headerFooter>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M96"/>
  <sheetViews>
    <sheetView workbookViewId="0" topLeftCell="A1">
      <selection activeCell="B5" sqref="B5"/>
    </sheetView>
  </sheetViews>
  <sheetFormatPr defaultColWidth="9.140625" defaultRowHeight="12.75"/>
  <cols>
    <col min="1" max="1" width="33.28125" style="169" customWidth="1"/>
    <col min="2" max="5" width="11.140625" style="169" customWidth="1"/>
    <col min="6" max="7" width="9.140625" style="169" customWidth="1"/>
    <col min="8" max="11" width="14.140625" style="169" customWidth="1"/>
    <col min="12" max="16384" width="9.140625" style="169" customWidth="1"/>
  </cols>
  <sheetData>
    <row r="1" spans="1:11" s="336" customFormat="1" ht="27" customHeight="1" thickBot="1">
      <c r="A1" s="203" t="s">
        <v>59</v>
      </c>
      <c r="B1" s="204"/>
      <c r="C1" s="204"/>
      <c r="D1" s="204"/>
      <c r="E1" s="204"/>
      <c r="F1" s="205"/>
      <c r="G1" s="335"/>
      <c r="H1" s="335"/>
      <c r="I1" s="335"/>
      <c r="J1" s="335"/>
      <c r="K1" s="335"/>
    </row>
    <row r="2" spans="1:11" ht="12.75">
      <c r="A2" s="384"/>
      <c r="B2" s="313"/>
      <c r="C2" s="313"/>
      <c r="D2" s="313"/>
      <c r="E2" s="313"/>
      <c r="F2" s="314"/>
      <c r="G2" s="319"/>
      <c r="H2" s="319"/>
      <c r="I2" s="319"/>
      <c r="J2" s="319"/>
      <c r="K2" s="319"/>
    </row>
    <row r="3" spans="1:13" ht="12.75">
      <c r="A3" s="20"/>
      <c r="B3" s="59"/>
      <c r="C3" s="71"/>
      <c r="D3" s="71"/>
      <c r="E3" s="71"/>
      <c r="F3" s="314"/>
      <c r="G3" s="337"/>
      <c r="H3" s="338"/>
      <c r="I3" s="339"/>
      <c r="J3" s="339"/>
      <c r="K3" s="339"/>
      <c r="L3" s="332"/>
      <c r="M3" s="332"/>
    </row>
    <row r="4" spans="1:13" ht="12.75">
      <c r="A4" s="20"/>
      <c r="B4" s="24" t="str">
        <f>IF(BlendID1="","Blend 1",BlendID1)</f>
        <v>Blend 1</v>
      </c>
      <c r="C4" s="24" t="str">
        <f>IF(BlendID2="","Blend 2",BlendID2)</f>
        <v>Blend 2</v>
      </c>
      <c r="D4" s="24" t="str">
        <f>IF(BlendID3="","Blend 3",BlendID3)</f>
        <v>Blend 3</v>
      </c>
      <c r="E4" s="24" t="str">
        <f>IF(BlendID4="","Blend 4",BlendID4)</f>
        <v>Blend 4</v>
      </c>
      <c r="F4" s="20"/>
      <c r="G4" s="337"/>
      <c r="H4" s="340"/>
      <c r="I4" s="340"/>
      <c r="J4" s="340"/>
      <c r="K4" s="340"/>
      <c r="L4" s="332"/>
      <c r="M4" s="332"/>
    </row>
    <row r="5" spans="1:13" ht="12.75">
      <c r="A5" s="377" t="s">
        <v>60</v>
      </c>
      <c r="B5" s="342"/>
      <c r="C5" s="342"/>
      <c r="D5" s="342"/>
      <c r="E5" s="342"/>
      <c r="F5" s="20"/>
      <c r="G5" s="327"/>
      <c r="H5" s="341"/>
      <c r="I5" s="341"/>
      <c r="J5" s="341"/>
      <c r="K5" s="341"/>
      <c r="L5" s="332"/>
      <c r="M5" s="332"/>
    </row>
    <row r="6" spans="1:13" ht="12.75">
      <c r="A6" s="385" t="s">
        <v>61</v>
      </c>
      <c r="B6" s="343"/>
      <c r="C6" s="343"/>
      <c r="D6" s="343"/>
      <c r="E6" s="343"/>
      <c r="F6" s="382"/>
      <c r="G6" s="327"/>
      <c r="H6" s="341"/>
      <c r="I6" s="341"/>
      <c r="J6" s="341"/>
      <c r="K6" s="341"/>
      <c r="L6" s="337"/>
      <c r="M6" s="337"/>
    </row>
    <row r="7" spans="1:13" ht="12.75">
      <c r="A7" s="377" t="s">
        <v>62</v>
      </c>
      <c r="B7" s="344">
        <f>IF(ISBLANK(B6),"",100-B6)</f>
      </c>
      <c r="C7" s="344">
        <f>IF(ISBLANK(C6),"",100-C6)</f>
      </c>
      <c r="D7" s="344">
        <f>IF(ISBLANK(D6),"",100-D6)</f>
      </c>
      <c r="E7" s="344">
        <f>IF(ISBLANK(E6),"",100-E6)</f>
      </c>
      <c r="F7" s="382"/>
      <c r="G7" s="327"/>
      <c r="H7" s="341"/>
      <c r="I7" s="341"/>
      <c r="J7" s="341"/>
      <c r="K7" s="341"/>
      <c r="L7" s="337"/>
      <c r="M7" s="337"/>
    </row>
    <row r="8" spans="1:13" ht="12.75">
      <c r="A8" s="20"/>
      <c r="B8" s="20"/>
      <c r="C8" s="20"/>
      <c r="D8" s="20"/>
      <c r="E8" s="20"/>
      <c r="F8" s="382"/>
      <c r="G8" s="327"/>
      <c r="H8" s="341"/>
      <c r="I8" s="341"/>
      <c r="J8" s="341"/>
      <c r="K8" s="341"/>
      <c r="L8" s="337"/>
      <c r="M8" s="337"/>
    </row>
    <row r="9" spans="1:13" ht="12.75">
      <c r="A9" s="20"/>
      <c r="B9" s="20"/>
      <c r="C9" s="20"/>
      <c r="D9" s="20"/>
      <c r="E9" s="20"/>
      <c r="F9" s="383"/>
      <c r="G9" s="337"/>
      <c r="H9" s="341"/>
      <c r="I9" s="341"/>
      <c r="J9" s="341"/>
      <c r="K9" s="341"/>
      <c r="L9" s="337"/>
      <c r="M9" s="337"/>
    </row>
    <row r="10" spans="1:6" ht="12.75">
      <c r="A10" s="381"/>
      <c r="B10" s="173"/>
      <c r="C10" s="173"/>
      <c r="D10" s="173"/>
      <c r="E10" s="173"/>
      <c r="F10" s="20"/>
    </row>
    <row r="11" spans="1:13" ht="12.75">
      <c r="A11" s="381"/>
      <c r="B11" s="173"/>
      <c r="C11" s="173"/>
      <c r="D11" s="173"/>
      <c r="E11" s="173"/>
      <c r="F11" s="382"/>
      <c r="G11" s="330"/>
      <c r="H11" s="330"/>
      <c r="I11" s="330"/>
      <c r="J11" s="330"/>
      <c r="K11" s="330"/>
      <c r="L11" s="330"/>
      <c r="M11" s="330"/>
    </row>
    <row r="12" spans="1:10" s="170" customFormat="1" ht="12.75">
      <c r="A12" s="327"/>
      <c r="B12" s="328"/>
      <c r="C12" s="328"/>
      <c r="D12" s="328"/>
      <c r="E12" s="328"/>
      <c r="F12" s="169"/>
      <c r="G12" s="169"/>
      <c r="H12" s="169"/>
      <c r="I12" s="169"/>
      <c r="J12" s="169"/>
    </row>
    <row r="13" spans="1:12" s="170" customFormat="1" ht="12.75">
      <c r="A13" s="169"/>
      <c r="B13" s="329"/>
      <c r="C13" s="329"/>
      <c r="D13" s="329"/>
      <c r="E13" s="329"/>
      <c r="F13" s="330"/>
      <c r="G13" s="331"/>
      <c r="H13" s="169"/>
      <c r="I13" s="330"/>
      <c r="L13" s="330"/>
    </row>
    <row r="14" spans="6:9" ht="12.75">
      <c r="F14" s="170"/>
      <c r="G14" s="331"/>
      <c r="H14" s="170"/>
      <c r="I14" s="170"/>
    </row>
    <row r="15" spans="1:9" ht="12.75">
      <c r="A15" s="332"/>
      <c r="B15" s="332"/>
      <c r="C15" s="332"/>
      <c r="D15" s="332"/>
      <c r="E15" s="332"/>
      <c r="F15" s="333"/>
      <c r="G15" s="170"/>
      <c r="H15" s="170"/>
      <c r="I15" s="170"/>
    </row>
    <row r="16" spans="1:5" ht="12.75">
      <c r="A16" s="332"/>
      <c r="B16" s="332"/>
      <c r="C16" s="332"/>
      <c r="D16" s="332"/>
      <c r="E16" s="332"/>
    </row>
    <row r="17" spans="1:5" ht="12.75">
      <c r="A17" s="332"/>
      <c r="B17" s="332"/>
      <c r="C17" s="334"/>
      <c r="D17" s="332"/>
      <c r="E17" s="332"/>
    </row>
    <row r="20" ht="12.75">
      <c r="A20" s="318"/>
    </row>
    <row r="21" ht="12.75">
      <c r="A21" s="318"/>
    </row>
    <row r="22" ht="12.75">
      <c r="A22" s="318"/>
    </row>
    <row r="23" ht="12.75">
      <c r="A23" s="318"/>
    </row>
    <row r="24" ht="12.75">
      <c r="A24" s="318"/>
    </row>
    <row r="25" ht="12.75">
      <c r="A25" s="318"/>
    </row>
    <row r="26" ht="12.75">
      <c r="A26" s="318"/>
    </row>
    <row r="27" ht="12.75">
      <c r="A27" s="318"/>
    </row>
    <row r="28" ht="12.75">
      <c r="A28" s="318"/>
    </row>
    <row r="29" ht="12.75">
      <c r="A29" s="318"/>
    </row>
    <row r="30" ht="12.75">
      <c r="A30" s="318"/>
    </row>
    <row r="31" ht="12.75">
      <c r="A31" s="318"/>
    </row>
    <row r="32" ht="12.75">
      <c r="A32" s="318"/>
    </row>
    <row r="33" ht="12.75">
      <c r="A33" s="318"/>
    </row>
    <row r="34" ht="12.75">
      <c r="A34" s="318"/>
    </row>
    <row r="35" ht="12.75">
      <c r="A35" s="318"/>
    </row>
    <row r="36" ht="12.75">
      <c r="A36" s="318"/>
    </row>
    <row r="37" ht="12.75">
      <c r="A37" s="318"/>
    </row>
    <row r="38" ht="12.75">
      <c r="A38" s="318"/>
    </row>
    <row r="39" ht="12.75">
      <c r="A39" s="318"/>
    </row>
    <row r="40" ht="12.75">
      <c r="A40" s="318"/>
    </row>
    <row r="41" ht="12.75">
      <c r="A41" s="318"/>
    </row>
    <row r="42" ht="12.75">
      <c r="A42" s="318"/>
    </row>
    <row r="43" ht="12.75">
      <c r="A43" s="318"/>
    </row>
    <row r="44" ht="12.75">
      <c r="A44" s="318"/>
    </row>
    <row r="45" ht="12.75">
      <c r="A45" s="318"/>
    </row>
    <row r="46" ht="12.75">
      <c r="A46" s="318"/>
    </row>
    <row r="47" ht="12.75">
      <c r="A47" s="318"/>
    </row>
    <row r="48" ht="12.75">
      <c r="A48" s="318"/>
    </row>
    <row r="49" ht="12.75">
      <c r="A49" s="318"/>
    </row>
    <row r="50" ht="12.75">
      <c r="A50" s="318"/>
    </row>
    <row r="51" ht="12.75">
      <c r="A51" s="318"/>
    </row>
    <row r="52" ht="12.75">
      <c r="A52" s="318"/>
    </row>
    <row r="53" ht="12.75">
      <c r="A53" s="318"/>
    </row>
    <row r="54" ht="12.75">
      <c r="A54" s="318"/>
    </row>
    <row r="55" ht="12.75">
      <c r="A55" s="318"/>
    </row>
    <row r="56" ht="12.75">
      <c r="A56" s="318"/>
    </row>
    <row r="57" ht="12.75">
      <c r="A57" s="318"/>
    </row>
    <row r="58" ht="12.75">
      <c r="A58" s="318"/>
    </row>
    <row r="59" ht="12.75">
      <c r="A59" s="318"/>
    </row>
    <row r="60" ht="12.75">
      <c r="A60" s="318"/>
    </row>
    <row r="61" ht="12.75">
      <c r="A61" s="318"/>
    </row>
    <row r="62" ht="12.75">
      <c r="A62" s="318"/>
    </row>
    <row r="63" ht="12.75">
      <c r="A63" s="318"/>
    </row>
    <row r="64" ht="12.75">
      <c r="A64" s="318"/>
    </row>
    <row r="65" ht="12.75">
      <c r="A65" s="318"/>
    </row>
    <row r="66" ht="12.75">
      <c r="A66" s="318"/>
    </row>
    <row r="67" ht="12.75">
      <c r="A67" s="318"/>
    </row>
    <row r="68" ht="12.75">
      <c r="A68" s="318"/>
    </row>
    <row r="69" ht="12.75">
      <c r="A69" s="318"/>
    </row>
    <row r="70" ht="12.75">
      <c r="A70" s="318"/>
    </row>
    <row r="71" ht="12.75">
      <c r="A71" s="318"/>
    </row>
    <row r="72" ht="12.75">
      <c r="A72" s="318"/>
    </row>
    <row r="73" ht="12.75">
      <c r="A73" s="318"/>
    </row>
    <row r="74" ht="12.75">
      <c r="A74" s="318"/>
    </row>
    <row r="75" ht="12.75">
      <c r="A75" s="318"/>
    </row>
    <row r="76" ht="12.75">
      <c r="A76" s="318"/>
    </row>
    <row r="77" ht="12.75">
      <c r="A77" s="318"/>
    </row>
    <row r="78" ht="12.75">
      <c r="A78" s="318"/>
    </row>
    <row r="79" ht="12.75">
      <c r="A79" s="318"/>
    </row>
    <row r="80" ht="12.75">
      <c r="A80" s="318"/>
    </row>
    <row r="81" ht="12.75">
      <c r="A81" s="318"/>
    </row>
    <row r="82" ht="12.75">
      <c r="A82" s="318"/>
    </row>
    <row r="83" ht="12.75">
      <c r="A83" s="318"/>
    </row>
    <row r="84" ht="12.75">
      <c r="A84" s="318"/>
    </row>
    <row r="85" ht="12.75">
      <c r="A85" s="318"/>
    </row>
    <row r="86" ht="12.75">
      <c r="A86" s="318"/>
    </row>
    <row r="87" ht="12.75">
      <c r="A87" s="318"/>
    </row>
    <row r="88" ht="12.75">
      <c r="A88" s="318"/>
    </row>
    <row r="89" ht="12.75">
      <c r="A89" s="318"/>
    </row>
    <row r="90" ht="12.75">
      <c r="A90" s="318"/>
    </row>
    <row r="91" ht="12.75">
      <c r="A91" s="318"/>
    </row>
    <row r="92" ht="12.75">
      <c r="A92" s="318"/>
    </row>
    <row r="93" ht="12.75">
      <c r="A93" s="318"/>
    </row>
    <row r="94" ht="12.75">
      <c r="A94" s="318"/>
    </row>
    <row r="95" ht="12.75">
      <c r="A95" s="318"/>
    </row>
    <row r="96" ht="12.75">
      <c r="A96" s="318"/>
    </row>
  </sheetData>
  <sheetProtection sheet="1" objects="1" scenarios="1"/>
  <printOptions/>
  <pageMargins left="0.75" right="0.75" top="1" bottom="1" header="0.5" footer="0.5"/>
  <pageSetup blackAndWhite="1" fitToHeight="1" fitToWidth="1" horizontalDpi="240" verticalDpi="240" orientation="landscape" scale="80" r:id="rId1"/>
  <headerFooter alignWithMargins="0">
    <oddHeader>&amp;L%AC Worksheet&amp;R&amp;F</oddHeader>
    <oddFooter>&amp;R&amp;D,  &amp;T</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G20"/>
  <sheetViews>
    <sheetView workbookViewId="0" topLeftCell="A1">
      <selection activeCell="B5" sqref="B5"/>
    </sheetView>
  </sheetViews>
  <sheetFormatPr defaultColWidth="9.140625" defaultRowHeight="12.75"/>
  <cols>
    <col min="1" max="1" width="41.00390625" style="15" customWidth="1"/>
    <col min="2" max="16384" width="9.140625" style="15" customWidth="1"/>
  </cols>
  <sheetData>
    <row r="1" spans="1:7" ht="27" customHeight="1" thickBot="1">
      <c r="A1" s="203" t="s">
        <v>63</v>
      </c>
      <c r="B1" s="191"/>
      <c r="C1" s="191"/>
      <c r="D1" s="191"/>
      <c r="E1" s="191"/>
      <c r="F1" s="191"/>
      <c r="G1" s="215"/>
    </row>
    <row r="2" spans="1:7" ht="12.75">
      <c r="A2" s="20"/>
      <c r="B2" s="313"/>
      <c r="C2" s="313"/>
      <c r="D2" s="313"/>
      <c r="E2" s="313"/>
      <c r="F2" s="313"/>
      <c r="G2" s="20"/>
    </row>
    <row r="3" spans="1:7" ht="12.75">
      <c r="A3" s="20"/>
      <c r="B3" s="177" t="s">
        <v>64</v>
      </c>
      <c r="C3" s="178"/>
      <c r="D3" s="178"/>
      <c r="E3" s="179"/>
      <c r="F3" s="20"/>
      <c r="G3" s="20"/>
    </row>
    <row r="4" spans="1:7" ht="12.75">
      <c r="A4" s="20"/>
      <c r="B4" s="24" t="str">
        <f>IF(BlendID1="","Blend 1",BlendID1)</f>
        <v>Blend 1</v>
      </c>
      <c r="C4" s="24" t="str">
        <f>IF(BlendID2="","Blend 2",BlendID2)</f>
        <v>Blend 2</v>
      </c>
      <c r="D4" s="24" t="str">
        <f>IF(BlendID3="","Blend 3",BlendID3)</f>
        <v>Blend 3</v>
      </c>
      <c r="E4" s="24" t="str">
        <f>IF(BlendID4="","Blend 4",BlendID4)</f>
        <v>Blend 4</v>
      </c>
      <c r="F4" s="20"/>
      <c r="G4" s="20"/>
    </row>
    <row r="5" spans="1:7" ht="12.75">
      <c r="A5" s="377" t="s">
        <v>65</v>
      </c>
      <c r="B5" s="342"/>
      <c r="C5" s="342"/>
      <c r="D5" s="342"/>
      <c r="E5" s="342"/>
      <c r="F5" s="20"/>
      <c r="G5" s="20"/>
    </row>
    <row r="6" spans="1:7" ht="12.75">
      <c r="A6" s="386" t="s">
        <v>66</v>
      </c>
      <c r="B6" s="345"/>
      <c r="C6" s="345"/>
      <c r="D6" s="345"/>
      <c r="E6" s="345"/>
      <c r="F6" s="20"/>
      <c r="G6" s="20"/>
    </row>
    <row r="7" spans="1:7" ht="12.75">
      <c r="A7" s="20"/>
      <c r="B7" s="20"/>
      <c r="C7" s="20"/>
      <c r="D7" s="20"/>
      <c r="E7" s="20"/>
      <c r="F7" s="20"/>
      <c r="G7" s="20"/>
    </row>
    <row r="8" spans="1:7" ht="12.75">
      <c r="A8" s="20"/>
      <c r="B8" s="177" t="s">
        <v>67</v>
      </c>
      <c r="C8" s="178"/>
      <c r="D8" s="178"/>
      <c r="E8" s="179"/>
      <c r="F8" s="20"/>
      <c r="G8" s="20"/>
    </row>
    <row r="9" spans="1:7" ht="12.75">
      <c r="A9" s="21" t="s">
        <v>68</v>
      </c>
      <c r="B9" s="324" t="e">
        <f>IF(ISBLANK(G_b1),NA(),(100*G_b1*((Gse1-Gsb1)/(Gse1*Gsb1))))</f>
        <v>#N/A</v>
      </c>
      <c r="C9" s="324" t="e">
        <f>IF(ISBLANK(G_b2),NA(),(100*G_b2*((Gse2-Gsb2)/(Gse2*Gsb2))))</f>
        <v>#N/A</v>
      </c>
      <c r="D9" s="324" t="e">
        <f>IF(ISBLANK(G_b3),NA(),(100*G_b3*((Gse3-Gsb3)/(Gse3*Gsb3))))</f>
        <v>#N/A</v>
      </c>
      <c r="E9" s="324" t="e">
        <f>IF(ISBLANK(G_b4),NA(),(100*G_b4*((Gse4-Gsb4)/(Gse4*Gsb4))))</f>
        <v>#N/A</v>
      </c>
      <c r="F9" s="20"/>
      <c r="G9" s="20"/>
    </row>
    <row r="10" spans="1:7" ht="12.75">
      <c r="A10" s="21" t="s">
        <v>69</v>
      </c>
      <c r="B10" s="324" t="e">
        <f>Pba1*Ps1/100</f>
        <v>#N/A</v>
      </c>
      <c r="C10" s="324" t="e">
        <f>Pba2*Ps2/100</f>
        <v>#N/A</v>
      </c>
      <c r="D10" s="324" t="e">
        <f>Pba3*Ps3/100</f>
        <v>#N/A</v>
      </c>
      <c r="E10" s="324" t="e">
        <f>Pba4*Ps4/100</f>
        <v>#N/A</v>
      </c>
      <c r="F10" s="20"/>
      <c r="G10" s="20"/>
    </row>
    <row r="11" spans="1:7" ht="12.75">
      <c r="A11" s="21" t="s">
        <v>70</v>
      </c>
      <c r="B11" s="346" t="e">
        <f>IF(ISBLANK(Pbi1),NA(),Pbi1)</f>
        <v>#N/A</v>
      </c>
      <c r="C11" s="346" t="e">
        <f>IF(ISBLANK(Pbi2),NA(),Pbi2)</f>
        <v>#N/A</v>
      </c>
      <c r="D11" s="346" t="e">
        <f>IF(ISBLANK(Pbi3),NA(),Pbi3)</f>
        <v>#N/A</v>
      </c>
      <c r="E11" s="346" t="e">
        <f>IF(ISBLANK(Pbi4),NA(),Pbi4)</f>
        <v>#N/A</v>
      </c>
      <c r="F11" s="20"/>
      <c r="G11" s="20"/>
    </row>
    <row r="12" spans="1:7" ht="12.75">
      <c r="A12" s="377" t="s">
        <v>71</v>
      </c>
      <c r="B12" s="324" t="e">
        <f>IF(ISBLANK(G_b1),NA(),(100-Pbi1)/((100/AvgGmm1)-(Pbi1/G_b1)))</f>
        <v>#N/A</v>
      </c>
      <c r="C12" s="324" t="e">
        <f>IF(ISBLANK(G_b2),NA(),(100-Pbi2)/((100/AvgGmm2)-(Pbi2/G_b2)))</f>
        <v>#N/A</v>
      </c>
      <c r="D12" s="324" t="e">
        <f>IF(ISBLANK(G_b3),NA(),(100-Pbi3)/((100/AvgGmm3)-(Pbi3/G_b3)))</f>
        <v>#N/A</v>
      </c>
      <c r="E12" s="324" t="e">
        <f>IF(ISBLANK(G_b4),NA(),(100-Pbi4)/((100/AvgGmm4)-(Pbi4/G_b4)))</f>
        <v>#N/A</v>
      </c>
      <c r="F12" s="20"/>
      <c r="G12" s="20"/>
    </row>
    <row r="13" spans="1:7" ht="12.75">
      <c r="A13" s="21" t="s">
        <v>72</v>
      </c>
      <c r="B13" s="324" t="e">
        <f>Pbi1-(Pba1*Ps1/100)</f>
        <v>#N/A</v>
      </c>
      <c r="C13" s="324" t="e">
        <f>Pbi2-(Pba2*Ps2/100)</f>
        <v>#N/A</v>
      </c>
      <c r="D13" s="324" t="e">
        <f>Pbi3-(Pba3*Ps3/100)</f>
        <v>#N/A</v>
      </c>
      <c r="E13" s="324" t="e">
        <f>Pbi4-(Pba4*Ps4/100)</f>
        <v>#N/A</v>
      </c>
      <c r="F13" s="20"/>
      <c r="G13" s="20"/>
    </row>
    <row r="14" spans="1:7" ht="12.75">
      <c r="A14" s="20"/>
      <c r="B14" s="20"/>
      <c r="C14" s="20"/>
      <c r="D14" s="20"/>
      <c r="E14" s="20"/>
      <c r="F14" s="20"/>
      <c r="G14" s="20"/>
    </row>
    <row r="15" spans="1:7" ht="12.75">
      <c r="A15" s="387" t="s">
        <v>73</v>
      </c>
      <c r="B15" s="346">
        <f>IF(ISNA(Pbe1),"",Fines1/Pbe1)</f>
      </c>
      <c r="C15" s="346">
        <f>IF(ISNA(Pbe2),"",Fines2/Pbe2)</f>
      </c>
      <c r="D15" s="346">
        <f>IF(ISNA(Pbe3),"",Fines3/Pbe3)</f>
      </c>
      <c r="E15" s="346">
        <f>IF(ISNA(Pbe4),"",Fines4/Pbe4)</f>
      </c>
      <c r="F15" s="20"/>
      <c r="G15" s="20"/>
    </row>
    <row r="16" spans="1:7" ht="12.75">
      <c r="A16" s="20"/>
      <c r="B16" s="20"/>
      <c r="C16" s="20"/>
      <c r="D16" s="20"/>
      <c r="E16" s="20"/>
      <c r="F16" s="20"/>
      <c r="G16" s="20"/>
    </row>
    <row r="17" spans="1:7" ht="12.75">
      <c r="A17" s="20"/>
      <c r="B17" s="20"/>
      <c r="C17" s="20"/>
      <c r="D17" s="20"/>
      <c r="E17" s="20"/>
      <c r="F17" s="20"/>
      <c r="G17" s="20"/>
    </row>
    <row r="18" ht="12.75">
      <c r="A18" s="262"/>
    </row>
    <row r="19" ht="12.75">
      <c r="A19" s="262"/>
    </row>
    <row r="20" ht="12.75">
      <c r="A20" s="262"/>
    </row>
  </sheetData>
  <sheetProtection sheet="1" objects="1" scenarios="1"/>
  <printOptions/>
  <pageMargins left="0.75" right="0.75" top="1" bottom="1" header="0.5" footer="0.5"/>
  <pageSetup blackAndWhite="1" fitToHeight="1" fitToWidth="1" horizontalDpi="120" verticalDpi="120" orientation="landscape" r:id="rId1"/>
  <headerFooter alignWithMargins="0">
    <oddHeader>&amp;LDust Proportion Worksheet&amp;R&amp;F</oddHeader>
    <oddFooter>&amp;R&amp;D, &amp;T</oddFooter>
  </headerFooter>
</worksheet>
</file>

<file path=xl/worksheets/sheet7.xml><?xml version="1.0" encoding="utf-8"?>
<worksheet xmlns="http://schemas.openxmlformats.org/spreadsheetml/2006/main" xmlns:r="http://schemas.openxmlformats.org/officeDocument/2006/relationships">
  <sheetPr codeName="Sheet7"/>
  <dimension ref="A1:AB163"/>
  <sheetViews>
    <sheetView zoomScale="75" zoomScaleNormal="75" workbookViewId="0" topLeftCell="A1">
      <selection activeCell="J12" sqref="J12"/>
    </sheetView>
  </sheetViews>
  <sheetFormatPr defaultColWidth="9.140625" defaultRowHeight="12.75"/>
  <cols>
    <col min="1" max="1" width="12.28125" style="32" customWidth="1"/>
    <col min="2" max="2" width="9.28125" style="32" customWidth="1"/>
    <col min="3" max="9" width="9.140625" style="32" customWidth="1"/>
    <col min="10" max="10" width="10.421875" style="32" customWidth="1"/>
    <col min="11" max="11" width="9.140625" style="32" customWidth="1"/>
    <col min="12" max="12" width="12.421875" style="32" customWidth="1"/>
    <col min="13" max="13" width="9.28125" style="32" customWidth="1"/>
    <col min="14" max="16384" width="9.140625" style="32" customWidth="1"/>
  </cols>
  <sheetData>
    <row r="1" spans="1:27" ht="12.75" customHeight="1">
      <c r="A1" s="119"/>
      <c r="B1" s="232" t="s">
        <v>6</v>
      </c>
      <c r="C1" s="233">
        <f>TEXT(ProjectDescription,"")</f>
      </c>
      <c r="D1" s="234"/>
      <c r="E1" s="234"/>
      <c r="F1" s="105"/>
      <c r="G1" s="105"/>
      <c r="H1" s="234"/>
      <c r="I1" s="234"/>
      <c r="J1" s="232" t="s">
        <v>74</v>
      </c>
      <c r="K1" s="235">
        <f>NINI</f>
        <v>7</v>
      </c>
      <c r="N1" s="224"/>
      <c r="O1" s="224"/>
      <c r="P1" s="224"/>
      <c r="Q1" s="224"/>
      <c r="R1" s="224"/>
      <c r="S1" s="224"/>
      <c r="T1" s="224"/>
      <c r="U1" s="224"/>
      <c r="V1" s="224"/>
      <c r="W1" s="224"/>
      <c r="X1" s="224"/>
      <c r="Y1" s="224"/>
      <c r="Z1" s="224"/>
      <c r="AA1" s="224"/>
    </row>
    <row r="2" spans="1:27" ht="12.75" customHeight="1">
      <c r="A2" s="107"/>
      <c r="B2" s="223" t="s">
        <v>5</v>
      </c>
      <c r="C2" s="217" t="str">
        <f>WorkbookName</f>
        <v>Pine-Prj.xlt</v>
      </c>
      <c r="D2" s="221"/>
      <c r="E2" s="221"/>
      <c r="F2" s="221"/>
      <c r="G2" s="221"/>
      <c r="H2" s="221"/>
      <c r="I2" s="221"/>
      <c r="J2" s="222" t="s">
        <v>75</v>
      </c>
      <c r="K2" s="237">
        <f>NDES</f>
        <v>75</v>
      </c>
      <c r="M2" s="224"/>
      <c r="N2" s="224"/>
      <c r="O2" s="224"/>
      <c r="P2" s="224"/>
      <c r="Q2" s="224"/>
      <c r="R2" s="224"/>
      <c r="S2" s="224"/>
      <c r="T2" s="224"/>
      <c r="U2" s="224"/>
      <c r="V2" s="224"/>
      <c r="W2" s="224"/>
      <c r="X2" s="224"/>
      <c r="Y2" s="224"/>
      <c r="Z2" s="224"/>
      <c r="AA2" s="224"/>
    </row>
    <row r="3" spans="1:27" ht="12.75" customHeight="1">
      <c r="A3" s="107"/>
      <c r="B3" s="222" t="s">
        <v>7</v>
      </c>
      <c r="C3" s="230">
        <f>TEXT(Technician,"")</f>
      </c>
      <c r="D3" s="221"/>
      <c r="E3" s="221"/>
      <c r="F3" s="226"/>
      <c r="G3" s="221"/>
      <c r="H3" s="221"/>
      <c r="I3" s="221"/>
      <c r="J3" s="222" t="s">
        <v>76</v>
      </c>
      <c r="K3" s="237">
        <f>NMAX</f>
        <v>115</v>
      </c>
      <c r="M3" s="224"/>
      <c r="N3" s="224"/>
      <c r="O3" s="224"/>
      <c r="P3" s="224"/>
      <c r="Q3" s="224"/>
      <c r="R3" s="224"/>
      <c r="S3" s="224"/>
      <c r="T3" s="224"/>
      <c r="U3" s="224"/>
      <c r="V3" s="224"/>
      <c r="W3" s="224"/>
      <c r="X3" s="224"/>
      <c r="Y3" s="224"/>
      <c r="Z3" s="224"/>
      <c r="AA3" s="224"/>
    </row>
    <row r="4" spans="1:27" ht="12.75" customHeight="1">
      <c r="A4" s="107"/>
      <c r="B4" s="222" t="s">
        <v>8</v>
      </c>
      <c r="C4" s="225">
        <f>IF(ISBLANK(ProjectDate),"",TEXT(ProjectDate,"m/d/y"))</f>
      </c>
      <c r="D4" s="221"/>
      <c r="E4" s="221"/>
      <c r="F4" s="221"/>
      <c r="G4" s="221"/>
      <c r="H4" s="221"/>
      <c r="I4" s="221"/>
      <c r="J4" s="391" t="s">
        <v>16</v>
      </c>
      <c r="K4" s="392" t="str">
        <f>Sieve&amp;"mm"</f>
        <v>19mm</v>
      </c>
      <c r="M4" s="224"/>
      <c r="N4" s="224"/>
      <c r="O4" s="224"/>
      <c r="P4" s="224"/>
      <c r="Q4" s="224"/>
      <c r="R4" s="224"/>
      <c r="S4" s="224"/>
      <c r="T4" s="224"/>
      <c r="U4" s="224"/>
      <c r="V4" s="224"/>
      <c r="W4" s="224"/>
      <c r="X4" s="224"/>
      <c r="Y4" s="224"/>
      <c r="Z4" s="224"/>
      <c r="AA4" s="224"/>
    </row>
    <row r="5" spans="1:27" ht="12.75" customHeight="1">
      <c r="A5" s="107"/>
      <c r="B5" s="222" t="s">
        <v>9</v>
      </c>
      <c r="C5" s="227">
        <f>TEXT(Grade,"")</f>
      </c>
      <c r="D5" s="229"/>
      <c r="E5" s="228"/>
      <c r="F5" s="228"/>
      <c r="G5" s="228"/>
      <c r="H5" s="228"/>
      <c r="I5" s="221"/>
      <c r="J5" s="222" t="s">
        <v>17</v>
      </c>
      <c r="K5" s="237" t="str">
        <f>TEXT(Temperature,"##")&amp;"°C"</f>
        <v>°C</v>
      </c>
      <c r="M5" s="224"/>
      <c r="N5" s="224"/>
      <c r="O5" s="224"/>
      <c r="P5" s="224"/>
      <c r="Q5" s="224"/>
      <c r="R5" s="224"/>
      <c r="S5" s="224"/>
      <c r="T5" s="224"/>
      <c r="U5" s="224"/>
      <c r="V5" s="224"/>
      <c r="W5" s="224"/>
      <c r="X5" s="224"/>
      <c r="Y5" s="224"/>
      <c r="Z5" s="224"/>
      <c r="AA5" s="224"/>
    </row>
    <row r="6" spans="1:27" ht="12.75" customHeight="1" thickBot="1">
      <c r="A6" s="303"/>
      <c r="B6" s="240" t="s">
        <v>11</v>
      </c>
      <c r="C6" s="241" t="str">
        <f>TEXT(CompacTemp,"###")&amp;"°C"</f>
        <v>°C</v>
      </c>
      <c r="D6" s="242"/>
      <c r="E6" s="243"/>
      <c r="F6" s="243"/>
      <c r="G6" s="243"/>
      <c r="H6" s="243"/>
      <c r="I6" s="244"/>
      <c r="J6" s="240" t="s">
        <v>10</v>
      </c>
      <c r="K6" s="245" t="str">
        <f>TEXT(ESALS,"##.#")</f>
        <v>.3</v>
      </c>
      <c r="M6" s="224"/>
      <c r="N6" s="224"/>
      <c r="O6" s="224"/>
      <c r="P6" s="224"/>
      <c r="Q6" s="224"/>
      <c r="R6" s="224"/>
      <c r="S6" s="224"/>
      <c r="T6" s="224"/>
      <c r="U6" s="224"/>
      <c r="V6" s="224"/>
      <c r="W6" s="224"/>
      <c r="X6" s="224"/>
      <c r="Y6" s="224"/>
      <c r="Z6" s="224"/>
      <c r="AA6" s="224"/>
    </row>
    <row r="7" spans="1:28" ht="15" customHeight="1">
      <c r="A7" s="109"/>
      <c r="B7" s="109"/>
      <c r="C7" s="109"/>
      <c r="D7" s="109"/>
      <c r="E7" s="109"/>
      <c r="F7" s="109"/>
      <c r="G7" s="109"/>
      <c r="H7" s="109"/>
      <c r="I7" s="109"/>
      <c r="J7" s="109"/>
      <c r="K7" s="109"/>
      <c r="M7"/>
      <c r="N7"/>
      <c r="O7"/>
      <c r="P7"/>
      <c r="Q7"/>
      <c r="R7"/>
      <c r="S7"/>
      <c r="T7"/>
      <c r="U7"/>
      <c r="V7"/>
      <c r="W7"/>
      <c r="X7"/>
      <c r="Y7"/>
      <c r="Z7"/>
      <c r="AA7"/>
      <c r="AB7" s="15"/>
    </row>
    <row r="8" spans="1:28" ht="12.75">
      <c r="A8" s="90" t="str">
        <f>IF(BlendID1="","Blend 1",BlendID1)</f>
        <v>Blend 1</v>
      </c>
      <c r="B8" s="31"/>
      <c r="C8" s="169"/>
      <c r="D8" s="170"/>
      <c r="E8" s="169"/>
      <c r="F8" s="170"/>
      <c r="G8" s="170"/>
      <c r="H8" s="170"/>
      <c r="I8" s="170"/>
      <c r="J8" s="170"/>
      <c r="K8" s="170"/>
      <c r="L8" s="15"/>
      <c r="M8"/>
      <c r="N8"/>
      <c r="O8"/>
      <c r="P8"/>
      <c r="Q8"/>
      <c r="R8"/>
      <c r="S8"/>
      <c r="T8"/>
      <c r="U8"/>
      <c r="V8"/>
      <c r="W8"/>
      <c r="X8"/>
      <c r="Y8"/>
      <c r="Z8"/>
      <c r="AA8"/>
      <c r="AB8" s="15"/>
    </row>
    <row r="9" spans="1:28" ht="12.75">
      <c r="A9" s="33"/>
      <c r="B9" s="34" t="s">
        <v>1</v>
      </c>
      <c r="C9" s="35"/>
      <c r="D9" s="36"/>
      <c r="E9" s="34" t="s">
        <v>2</v>
      </c>
      <c r="F9" s="35"/>
      <c r="G9" s="36"/>
      <c r="H9" s="34" t="s">
        <v>3</v>
      </c>
      <c r="I9" s="35"/>
      <c r="J9" s="36"/>
      <c r="K9" s="33"/>
      <c r="L9"/>
      <c r="M9"/>
      <c r="N9"/>
      <c r="O9"/>
      <c r="P9"/>
      <c r="Q9"/>
      <c r="R9"/>
      <c r="S9"/>
      <c r="T9"/>
      <c r="U9"/>
      <c r="V9"/>
      <c r="W9"/>
      <c r="X9"/>
      <c r="Y9"/>
      <c r="Z9"/>
      <c r="AA9"/>
      <c r="AB9" s="15"/>
    </row>
    <row r="10" spans="1:27" ht="12.75">
      <c r="A10" s="37" t="s">
        <v>77</v>
      </c>
      <c r="B10" s="38" t="s">
        <v>78</v>
      </c>
      <c r="C10" s="39" t="s">
        <v>79</v>
      </c>
      <c r="D10" s="40" t="s">
        <v>79</v>
      </c>
      <c r="E10" s="38" t="s">
        <v>78</v>
      </c>
      <c r="F10" s="39" t="s">
        <v>79</v>
      </c>
      <c r="G10" s="40" t="s">
        <v>79</v>
      </c>
      <c r="H10" s="38" t="s">
        <v>78</v>
      </c>
      <c r="I10" s="39" t="s">
        <v>79</v>
      </c>
      <c r="J10" s="40" t="s">
        <v>79</v>
      </c>
      <c r="K10" s="37" t="s">
        <v>80</v>
      </c>
      <c r="L10"/>
      <c r="M10"/>
      <c r="N10"/>
      <c r="O10"/>
      <c r="P10"/>
      <c r="Q10"/>
      <c r="R10"/>
      <c r="S10"/>
      <c r="T10"/>
      <c r="U10"/>
      <c r="V10"/>
      <c r="W10"/>
      <c r="X10"/>
      <c r="Y10"/>
      <c r="Z10"/>
      <c r="AA10"/>
    </row>
    <row r="11" spans="1:21" ht="12.75">
      <c r="A11" s="41"/>
      <c r="B11" s="42" t="s">
        <v>81</v>
      </c>
      <c r="C11" s="43" t="s">
        <v>82</v>
      </c>
      <c r="D11" s="44" t="s">
        <v>83</v>
      </c>
      <c r="E11" s="42" t="s">
        <v>81</v>
      </c>
      <c r="F11" s="43" t="s">
        <v>82</v>
      </c>
      <c r="G11" s="44" t="s">
        <v>83</v>
      </c>
      <c r="H11" s="42" t="s">
        <v>81</v>
      </c>
      <c r="I11" s="43" t="s">
        <v>82</v>
      </c>
      <c r="J11" s="44" t="s">
        <v>83</v>
      </c>
      <c r="K11" s="45"/>
      <c r="L11"/>
      <c r="M11"/>
      <c r="N11"/>
      <c r="O11"/>
      <c r="P11"/>
      <c r="Q11"/>
      <c r="R11"/>
      <c r="S11" s="88"/>
      <c r="T11" s="88"/>
      <c r="U11" s="88"/>
    </row>
    <row r="12" spans="1:21" ht="12.75">
      <c r="A12" s="171">
        <f>NINI</f>
        <v>7</v>
      </c>
      <c r="B12" s="91">
        <f>FindHeight(1,1,A12)</f>
      </c>
      <c r="C12" s="92">
        <f>IF(OR(B12="",CalculatedGmb=2),"",(100000*Mass11)/(B12*AREA*AvgGmm1))</f>
      </c>
      <c r="D12" s="93">
        <f>IF(B12="","",(GmbMeas11/AvgGmm1)*(B14/B12)*100)</f>
      </c>
      <c r="E12" s="94">
        <f>FindHeight(1,2,A12)</f>
      </c>
      <c r="F12" s="92">
        <f>IF(OR(E12="",CalculatedGmb=2),"",(100000*Mass12)/(E12*AREA*AvgGmm1))</f>
      </c>
      <c r="G12" s="93">
        <f>IF(E12="","",(GmbMeas12/AvgGmm1)*(E14/E12)*100)</f>
      </c>
      <c r="H12" s="91">
        <f>FindHeight(1,3,A12)</f>
      </c>
      <c r="I12" s="92">
        <f>IF(OR(H12="",CalculatedGmb=2),"",(100000*Mass13)/(H12*AREA*AvgGmm1))</f>
      </c>
      <c r="J12" s="93">
        <f>IF(H12="","",(GmbMeas13/AvgGmm1)*(H14/H12)*100)</f>
      </c>
      <c r="K12" s="95">
        <f>IF(AND((D12=""),(G12=""),(J12="")),"",AVERAGE(D12,G12,J12))</f>
      </c>
      <c r="L12"/>
      <c r="M12"/>
      <c r="N12"/>
      <c r="O12"/>
      <c r="P12"/>
      <c r="Q12"/>
      <c r="R12"/>
      <c r="S12" s="15"/>
      <c r="T12" s="15"/>
      <c r="U12" s="15"/>
    </row>
    <row r="13" spans="1:21" ht="12.75">
      <c r="A13" s="171">
        <f>NDES</f>
        <v>75</v>
      </c>
      <c r="B13" s="91">
        <f>FindHeight(1,1,A13)</f>
      </c>
      <c r="C13" s="92">
        <f>IF(OR(B13="",CalculatedGmb=2),"",(100000*Mass11)/(B13*AREA*AvgGmm1))</f>
      </c>
      <c r="D13" s="93">
        <f>IF(B13="","",(GmbMeas11/AvgGmm1)*(B14/B13)*100)</f>
      </c>
      <c r="E13" s="94">
        <f>FindHeight(1,2,A13)</f>
      </c>
      <c r="F13" s="92">
        <f>IF(OR(E13="",CalculatedGmb=2),"",(100000*Mass12)/(E13*AREA*AvgGmm1))</f>
      </c>
      <c r="G13" s="93">
        <f>IF(E13="","",(GmbMeas12/AvgGmm1)*(E14/E13)*100)</f>
      </c>
      <c r="H13" s="91">
        <f>FindHeight(1,3,A13)</f>
      </c>
      <c r="I13" s="92">
        <f>IF(OR(H13="",CalculatedGmb=2),"",(100000*Mass13)/(H13*AREA*AvgGmm1))</f>
      </c>
      <c r="J13" s="93">
        <f>IF(H13="","",(GmbMeas13/AvgGmm1)*(H14/H13)*100)</f>
      </c>
      <c r="K13" s="95">
        <f>IF(AND((D13=""),(G13=""),(J13="")),"",AVERAGE(D13,G13,J13))</f>
      </c>
      <c r="L13"/>
      <c r="M13"/>
      <c r="N13"/>
      <c r="O13"/>
      <c r="P13"/>
      <c r="Q13"/>
      <c r="R13"/>
      <c r="S13" s="15"/>
      <c r="T13" s="15"/>
      <c r="U13" s="15"/>
    </row>
    <row r="14" spans="1:21" ht="12.75">
      <c r="A14" s="172">
        <f>NMAX</f>
        <v>115</v>
      </c>
      <c r="B14" s="96">
        <f>FindHeight(1,1,A14)</f>
      </c>
      <c r="C14" s="97">
        <f>IF(OR(B14="",CalculatedGmb=2),"",(100000*Mass11)/(B14*AREA*AvgGmm1))</f>
      </c>
      <c r="D14" s="98">
        <f>IF(B14="","",(GmbMeas11/AvgGmm1)*(B14/B14)*100)</f>
      </c>
      <c r="E14" s="99">
        <f>FindHeight(1,2,A14)</f>
      </c>
      <c r="F14" s="97">
        <f>IF(OR(E14="",CalculatedGmb=2),"",(100000*Mass12)/(E14*AREA*AvgGmm1))</f>
      </c>
      <c r="G14" s="98">
        <f>IF(E14="","",(GmbMeas12/AvgGmm1)*(E14/E14)*100)</f>
      </c>
      <c r="H14" s="96">
        <f>FindHeight(1,3,A14)</f>
      </c>
      <c r="I14" s="97">
        <f>IF(OR(H14="",CalculatedGmb=2),"",(100000*Mass13)/(H14*AREA*AvgGmm1))</f>
      </c>
      <c r="J14" s="98">
        <f>IF(H14="","",(GmbMeas13/AvgGmm1)*(H14/H14)*100)</f>
      </c>
      <c r="K14" s="95">
        <f>IF(AND((D14=""),(G14=""),(J14="")),"",AVERAGE(D14,G14,J14))</f>
      </c>
      <c r="L14"/>
      <c r="M14" s="210"/>
      <c r="N14"/>
      <c r="O14"/>
      <c r="P14"/>
      <c r="Q14"/>
      <c r="R14"/>
      <c r="S14" s="15"/>
      <c r="T14" s="15"/>
      <c r="U14" s="15"/>
    </row>
    <row r="15" spans="1:21" ht="12.75">
      <c r="A15" s="46" t="s">
        <v>84</v>
      </c>
      <c r="B15" s="100">
        <f>GmbMeas11</f>
      </c>
      <c r="C15" s="47"/>
      <c r="D15" s="48"/>
      <c r="E15" s="100">
        <f>GmbMeas12</f>
      </c>
      <c r="F15" s="47"/>
      <c r="G15" s="48"/>
      <c r="H15" s="100">
        <f>GmbMeas13</f>
      </c>
      <c r="I15" s="47"/>
      <c r="J15" s="48"/>
      <c r="K15" s="33"/>
      <c r="L15" s="15"/>
      <c r="M15"/>
      <c r="N15"/>
      <c r="O15"/>
      <c r="P15"/>
      <c r="Q15"/>
      <c r="R15"/>
      <c r="S15" s="15"/>
      <c r="T15" s="15"/>
      <c r="U15" s="15"/>
    </row>
    <row r="16" spans="1:21" ht="12.75">
      <c r="A16" s="41" t="s">
        <v>85</v>
      </c>
      <c r="B16" s="101">
        <f>IF(ISERROR(AvgGmm1),"",AvgGmm1)</f>
        <v>0</v>
      </c>
      <c r="C16" s="50"/>
      <c r="D16" s="51"/>
      <c r="E16" s="49"/>
      <c r="F16" s="50"/>
      <c r="G16" s="51"/>
      <c r="H16" s="49"/>
      <c r="I16" s="50"/>
      <c r="J16" s="51"/>
      <c r="K16" s="45"/>
      <c r="L16" s="15"/>
      <c r="M16"/>
      <c r="N16"/>
      <c r="O16"/>
      <c r="P16"/>
      <c r="Q16"/>
      <c r="R16"/>
      <c r="S16" s="15"/>
      <c r="T16" s="15"/>
      <c r="U16" s="15"/>
    </row>
    <row r="17" spans="1:21" ht="12.75">
      <c r="A17"/>
      <c r="B17"/>
      <c r="C17"/>
      <c r="D17"/>
      <c r="E17"/>
      <c r="F17"/>
      <c r="G17"/>
      <c r="H17"/>
      <c r="I17"/>
      <c r="J17"/>
      <c r="K17"/>
      <c r="L17" s="15"/>
      <c r="M17"/>
      <c r="N17"/>
      <c r="O17"/>
      <c r="P17"/>
      <c r="Q17"/>
      <c r="R17"/>
      <c r="S17" s="15"/>
      <c r="T17" s="15"/>
      <c r="U17" s="15"/>
    </row>
    <row r="18" spans="1:21" ht="12.75">
      <c r="A18"/>
      <c r="B18"/>
      <c r="C18"/>
      <c r="D18"/>
      <c r="E18"/>
      <c r="F18"/>
      <c r="G18"/>
      <c r="H18"/>
      <c r="I18"/>
      <c r="J18"/>
      <c r="K18"/>
      <c r="L18" s="15"/>
      <c r="M18"/>
      <c r="N18"/>
      <c r="O18"/>
      <c r="P18"/>
      <c r="Q18"/>
      <c r="R18"/>
      <c r="S18" s="15"/>
      <c r="T18" s="15"/>
      <c r="U18" s="15"/>
    </row>
    <row r="19" spans="1:21" ht="12.75">
      <c r="A19" s="90" t="str">
        <f>IF(BlendID2="","Blend 2",BlendID2)</f>
        <v>Blend 2</v>
      </c>
      <c r="B19" s="31"/>
      <c r="C19" s="15"/>
      <c r="L19" s="15"/>
      <c r="M19"/>
      <c r="N19"/>
      <c r="O19"/>
      <c r="P19"/>
      <c r="Q19"/>
      <c r="R19"/>
      <c r="S19" s="15"/>
      <c r="T19" s="15"/>
      <c r="U19" s="15"/>
    </row>
    <row r="20" spans="1:21" ht="12.75">
      <c r="A20" s="33"/>
      <c r="B20" s="34" t="s">
        <v>1</v>
      </c>
      <c r="C20" s="35"/>
      <c r="D20" s="36"/>
      <c r="E20" s="34" t="s">
        <v>2</v>
      </c>
      <c r="F20" s="35"/>
      <c r="G20" s="36"/>
      <c r="H20" s="34" t="s">
        <v>3</v>
      </c>
      <c r="I20" s="35"/>
      <c r="J20" s="36"/>
      <c r="K20" s="33"/>
      <c r="L20" s="15"/>
      <c r="M20"/>
      <c r="N20"/>
      <c r="O20"/>
      <c r="P20"/>
      <c r="Q20"/>
      <c r="R20"/>
      <c r="S20" s="15"/>
      <c r="T20" s="15"/>
      <c r="U20" s="15"/>
    </row>
    <row r="21" spans="1:21" ht="12.75">
      <c r="A21" s="37" t="s">
        <v>77</v>
      </c>
      <c r="B21" s="38" t="s">
        <v>78</v>
      </c>
      <c r="C21" s="39" t="s">
        <v>79</v>
      </c>
      <c r="D21" s="40" t="s">
        <v>79</v>
      </c>
      <c r="E21" s="38" t="s">
        <v>78</v>
      </c>
      <c r="F21" s="39" t="s">
        <v>79</v>
      </c>
      <c r="G21" s="40" t="s">
        <v>79</v>
      </c>
      <c r="H21" s="38" t="s">
        <v>78</v>
      </c>
      <c r="I21" s="39" t="s">
        <v>79</v>
      </c>
      <c r="J21" s="40" t="s">
        <v>79</v>
      </c>
      <c r="K21" s="37" t="s">
        <v>80</v>
      </c>
      <c r="L21" s="15"/>
      <c r="M21"/>
      <c r="N21"/>
      <c r="O21"/>
      <c r="P21"/>
      <c r="Q21"/>
      <c r="R21"/>
      <c r="S21" s="15"/>
      <c r="T21" s="15"/>
      <c r="U21" s="15"/>
    </row>
    <row r="22" spans="1:22" ht="12.75">
      <c r="A22" s="41"/>
      <c r="B22" s="42" t="s">
        <v>81</v>
      </c>
      <c r="C22" s="43" t="s">
        <v>82</v>
      </c>
      <c r="D22" s="44" t="s">
        <v>83</v>
      </c>
      <c r="E22" s="42" t="s">
        <v>81</v>
      </c>
      <c r="F22" s="43" t="s">
        <v>82</v>
      </c>
      <c r="G22" s="44" t="s">
        <v>83</v>
      </c>
      <c r="H22" s="42" t="s">
        <v>81</v>
      </c>
      <c r="I22" s="43" t="s">
        <v>82</v>
      </c>
      <c r="J22" s="44" t="s">
        <v>83</v>
      </c>
      <c r="K22" s="45"/>
      <c r="L22" s="15"/>
      <c r="M22"/>
      <c r="N22"/>
      <c r="O22"/>
      <c r="P22"/>
      <c r="Q22"/>
      <c r="R22"/>
      <c r="S22" s="154"/>
      <c r="T22" s="154"/>
      <c r="U22" s="154"/>
      <c r="V22" s="154"/>
    </row>
    <row r="23" spans="1:22" ht="12.75">
      <c r="A23" s="171">
        <f>NINI</f>
        <v>7</v>
      </c>
      <c r="B23" s="92">
        <f>FindHeight(2,1,A23)</f>
      </c>
      <c r="C23" s="92">
        <f>IF(OR(B23="",CalculatedGmb=2),"",(100000*Mass21)/(B23*AREA*AvgGmm2))</f>
      </c>
      <c r="D23" s="92">
        <f>IF(B23="","",(GmbMeas21/AvgGmm2)*(B25/B23)*100)</f>
      </c>
      <c r="E23" s="91">
        <f>FindHeight(2,2,A23)</f>
      </c>
      <c r="F23" s="92">
        <f>IF(OR(E23="",CalculatedGmb=2),"",(100000*Mass22)/(E23*AREA*AvgGmm2))</f>
      </c>
      <c r="G23" s="92">
        <f>IF(E23="","",(GmbMeas22/AvgGmm2)*(E25/E23)*100)</f>
      </c>
      <c r="H23" s="91">
        <f>FindHeight(2,3,A23)</f>
      </c>
      <c r="I23" s="92">
        <f>IF(OR(H23="",CalculatedGmb=2),"",(100000*Mass23)/(H23*AREA*AvgGmm2))</f>
      </c>
      <c r="J23" s="92">
        <f>IF(H23="","",(GmbMeas23/AvgGmm2)*(H25/H23)*100)</f>
      </c>
      <c r="K23" s="95">
        <f>IF(AND((D23=""),(G23=""),(J23="")),"",AVERAGE(D23,G23,J23))</f>
      </c>
      <c r="L23" s="15"/>
      <c r="M23"/>
      <c r="N23"/>
      <c r="O23"/>
      <c r="P23"/>
      <c r="Q23"/>
      <c r="R23"/>
      <c r="S23" s="154"/>
      <c r="T23" s="154"/>
      <c r="U23" s="154"/>
      <c r="V23" s="154"/>
    </row>
    <row r="24" spans="1:22" ht="12.75">
      <c r="A24" s="171">
        <f>NDES</f>
        <v>75</v>
      </c>
      <c r="B24" s="91">
        <f>FindHeight(2,1,A24)</f>
      </c>
      <c r="C24" s="92">
        <f>IF(OR(B24="",CalculatedGmb=2),"",(100000*Mass21)/(B24*AREA*AvgGmm2))</f>
      </c>
      <c r="D24" s="92">
        <f>IF(B24="","",(GmbMeas21/AvgGmm2)*(B25/B24)*100)</f>
      </c>
      <c r="E24" s="91">
        <f>FindHeight(2,2,A24)</f>
      </c>
      <c r="F24" s="92">
        <f>IF(OR(E24="",CalculatedGmb=2),"",(100000*Mass22)/(E24*AREA*AvgGmm2))</f>
      </c>
      <c r="G24" s="92">
        <f>IF(E24="","",(GmbMeas22/AvgGmm2)*(E25/E24)*100)</f>
      </c>
      <c r="H24" s="91">
        <f>FindHeight(2,3,A24)</f>
      </c>
      <c r="I24" s="92">
        <f>IF(OR(H24="",CalculatedGmb=2),"",(100000*Mass23)/(H24*AREA*AvgGmm2))</f>
      </c>
      <c r="J24" s="92">
        <f>IF(H24="","",(GmbMeas23/AvgGmm2)*(H25/H24)*100)</f>
      </c>
      <c r="K24" s="95">
        <f>IF(AND((D24=""),(G24=""),(J24="")),"",AVERAGE(D24,G24,J24))</f>
      </c>
      <c r="L24" s="15"/>
      <c r="M24"/>
      <c r="N24"/>
      <c r="O24"/>
      <c r="P24"/>
      <c r="Q24"/>
      <c r="R24"/>
      <c r="S24" s="15"/>
      <c r="T24" s="154"/>
      <c r="U24" s="154"/>
      <c r="V24" s="154"/>
    </row>
    <row r="25" spans="1:22" ht="12.75">
      <c r="A25" s="171">
        <f>NMAX</f>
        <v>115</v>
      </c>
      <c r="B25" s="96">
        <f>FindHeight(2,1,A25)</f>
      </c>
      <c r="C25" s="92">
        <f>IF(OR(B25="",CalculatedGmb=2),"",(100000*Mass21)/(B25*AREA*AvgGmm2))</f>
      </c>
      <c r="D25" s="92">
        <f>IF(B25="","",(GmbMeas21/AvgGmm2)*(B25/B25)*100)</f>
      </c>
      <c r="E25" s="96">
        <f>FindHeight(2,2,A25)</f>
      </c>
      <c r="F25" s="92">
        <f>IF(OR(E25="",CalculatedGmb=2),"",(100000*Mass22)/(E25*AREA*AvgGmm2))</f>
      </c>
      <c r="G25" s="92">
        <f>IF(E25="","",(GmbMeas22/AvgGmm2)*(E25/E25)*100)</f>
      </c>
      <c r="H25" s="96">
        <f>FindHeight(2,3,A25)</f>
      </c>
      <c r="I25" s="92">
        <f>IF(OR(H25="",CalculatedGmb=2),"",(100000*Mass23)/(H25*AREA*AvgGmm2))</f>
      </c>
      <c r="J25" s="92">
        <f>IF(H25="","",(GmbMeas23/AvgGmm2)*(H25/H25)*100)</f>
      </c>
      <c r="K25" s="95">
        <f>IF(AND((D25=""),(G25=""),(J25="")),"",AVERAGE(D25,G25,J25))</f>
      </c>
      <c r="L25"/>
      <c r="M25"/>
      <c r="N25"/>
      <c r="O25"/>
      <c r="P25"/>
      <c r="Q25"/>
      <c r="R25"/>
      <c r="S25" s="154"/>
      <c r="T25" s="154"/>
      <c r="U25" s="154"/>
      <c r="V25" s="154"/>
    </row>
    <row r="26" spans="1:22" ht="12.75">
      <c r="A26" s="46" t="s">
        <v>84</v>
      </c>
      <c r="B26" s="100">
        <f>GmbMeas21</f>
      </c>
      <c r="C26" s="47"/>
      <c r="D26" s="48"/>
      <c r="E26" s="100">
        <f>GmbMeas22</f>
      </c>
      <c r="F26" s="47"/>
      <c r="G26" s="48"/>
      <c r="H26" s="100">
        <f>GmbMeas23</f>
      </c>
      <c r="I26" s="47"/>
      <c r="J26" s="48"/>
      <c r="K26" s="33"/>
      <c r="L26" s="15"/>
      <c r="M26"/>
      <c r="N26"/>
      <c r="O26"/>
      <c r="P26"/>
      <c r="Q26"/>
      <c r="R26"/>
      <c r="S26" s="154"/>
      <c r="T26" s="154"/>
      <c r="U26" s="154"/>
      <c r="V26" s="154"/>
    </row>
    <row r="27" spans="1:22" ht="12.75">
      <c r="A27" s="41" t="s">
        <v>85</v>
      </c>
      <c r="B27" s="101">
        <f>IF(ISERROR(AvgGmm2),"",AvgGmm2)</f>
        <v>0</v>
      </c>
      <c r="C27" s="50"/>
      <c r="D27" s="51"/>
      <c r="E27" s="49"/>
      <c r="F27" s="50"/>
      <c r="G27" s="51"/>
      <c r="H27" s="49"/>
      <c r="I27" s="50"/>
      <c r="J27" s="51"/>
      <c r="K27" s="45"/>
      <c r="L27" s="15"/>
      <c r="M27"/>
      <c r="N27"/>
      <c r="O27"/>
      <c r="P27"/>
      <c r="Q27"/>
      <c r="R27"/>
      <c r="S27" s="154"/>
      <c r="T27" s="154"/>
      <c r="U27" s="154"/>
      <c r="V27" s="154"/>
    </row>
    <row r="28" spans="1:22" ht="12.75">
      <c r="A28"/>
      <c r="B28"/>
      <c r="C28"/>
      <c r="D28"/>
      <c r="E28"/>
      <c r="F28"/>
      <c r="G28"/>
      <c r="H28"/>
      <c r="I28"/>
      <c r="J28"/>
      <c r="K28"/>
      <c r="M28"/>
      <c r="N28"/>
      <c r="O28"/>
      <c r="P28"/>
      <c r="Q28"/>
      <c r="R28"/>
      <c r="S28" s="15"/>
      <c r="T28" s="15"/>
      <c r="U28" s="15"/>
      <c r="V28" s="154"/>
    </row>
    <row r="29" spans="2:22" ht="12.75">
      <c r="B29" s="52"/>
      <c r="N29"/>
      <c r="O29"/>
      <c r="P29"/>
      <c r="Q29"/>
      <c r="R29"/>
      <c r="S29" s="15"/>
      <c r="T29" s="15"/>
      <c r="U29" s="15"/>
      <c r="V29" s="154"/>
    </row>
    <row r="30" spans="1:22" ht="12.75">
      <c r="A30" s="90" t="str">
        <f>IF(BlendID3="","Blend 3",BlendID3)</f>
        <v>Blend 3</v>
      </c>
      <c r="B30" s="31"/>
      <c r="C30" s="15"/>
      <c r="N30"/>
      <c r="O30"/>
      <c r="P30"/>
      <c r="Q30"/>
      <c r="R30"/>
      <c r="S30" s="15"/>
      <c r="T30" s="15"/>
      <c r="U30" s="15"/>
      <c r="V30" s="154"/>
    </row>
    <row r="31" spans="1:22" ht="12.75">
      <c r="A31" s="33"/>
      <c r="B31" s="34" t="s">
        <v>1</v>
      </c>
      <c r="C31" s="35"/>
      <c r="D31" s="36"/>
      <c r="E31" s="34" t="s">
        <v>2</v>
      </c>
      <c r="F31" s="35"/>
      <c r="G31" s="36"/>
      <c r="H31" s="34" t="s">
        <v>3</v>
      </c>
      <c r="I31" s="35"/>
      <c r="J31" s="36"/>
      <c r="K31" s="33"/>
      <c r="N31"/>
      <c r="O31"/>
      <c r="P31"/>
      <c r="Q31"/>
      <c r="R31"/>
      <c r="S31" s="15"/>
      <c r="T31" s="15"/>
      <c r="U31" s="15"/>
      <c r="V31" s="154"/>
    </row>
    <row r="32" spans="1:22" ht="12.75">
      <c r="A32" s="37" t="s">
        <v>77</v>
      </c>
      <c r="B32" s="38" t="s">
        <v>78</v>
      </c>
      <c r="C32" s="39" t="s">
        <v>79</v>
      </c>
      <c r="D32" s="40" t="s">
        <v>79</v>
      </c>
      <c r="E32" s="38" t="s">
        <v>78</v>
      </c>
      <c r="F32" s="39" t="s">
        <v>79</v>
      </c>
      <c r="G32" s="40" t="s">
        <v>79</v>
      </c>
      <c r="H32" s="38" t="s">
        <v>78</v>
      </c>
      <c r="I32" s="39" t="s">
        <v>79</v>
      </c>
      <c r="J32" s="40" t="s">
        <v>79</v>
      </c>
      <c r="K32" s="37" t="s">
        <v>80</v>
      </c>
      <c r="N32"/>
      <c r="O32"/>
      <c r="P32"/>
      <c r="Q32"/>
      <c r="R32"/>
      <c r="S32" s="15"/>
      <c r="T32" s="15"/>
      <c r="U32" s="15"/>
      <c r="V32" s="154"/>
    </row>
    <row r="33" spans="1:22" ht="12.75">
      <c r="A33" s="41"/>
      <c r="B33" s="42" t="s">
        <v>81</v>
      </c>
      <c r="C33" s="43" t="s">
        <v>82</v>
      </c>
      <c r="D33" s="44" t="s">
        <v>83</v>
      </c>
      <c r="E33" s="42" t="s">
        <v>81</v>
      </c>
      <c r="F33" s="43" t="s">
        <v>82</v>
      </c>
      <c r="G33" s="44" t="s">
        <v>83</v>
      </c>
      <c r="H33" s="42" t="s">
        <v>81</v>
      </c>
      <c r="I33" s="43" t="s">
        <v>82</v>
      </c>
      <c r="J33" s="44" t="s">
        <v>83</v>
      </c>
      <c r="K33" s="45"/>
      <c r="N33"/>
      <c r="O33"/>
      <c r="P33"/>
      <c r="Q33"/>
      <c r="R33"/>
      <c r="S33" s="15"/>
      <c r="T33" s="15"/>
      <c r="U33" s="15"/>
      <c r="V33" s="154"/>
    </row>
    <row r="34" spans="1:22" ht="12.75">
      <c r="A34" s="171">
        <f>NINI</f>
        <v>7</v>
      </c>
      <c r="B34" s="91">
        <f>FindHeight(3,1,A34)</f>
      </c>
      <c r="C34" s="92">
        <f>IF(OR(B34="",CalculatedGmb=2),"",(100000*Mass31)/(B34*AREA*AvgGmm3))</f>
      </c>
      <c r="D34" s="92">
        <f>IF(B34="","",(GmbMeas31/AvgGmm3)*(B36/B34)*100)</f>
      </c>
      <c r="E34" s="91">
        <f>FindHeight(3,2,A34)</f>
      </c>
      <c r="F34" s="92">
        <f>IF(OR(E34="",CalculatedGmb=2),"",(100000*Mass32)/(E34*AREA*AvgGmm3))</f>
      </c>
      <c r="G34" s="92">
        <f>IF(E34="","",(GmbMeas32/AvgGmm3)*(E36/E34)*100)</f>
      </c>
      <c r="H34" s="91">
        <f>FindHeight(3,3,A34)</f>
      </c>
      <c r="I34" s="92">
        <f>IF(OR(H34="",CalculatedGmb=2),"",(100000*Mass33)/(H34*AREA*AvgGmm3))</f>
      </c>
      <c r="J34" s="92">
        <f>IF(H34="","",(GmbMeas33/AvgGmm3)*(H36/H34)*100)</f>
      </c>
      <c r="K34" s="95">
        <f>IF(AND((D34=""),(G34=""),(J34="")),"",AVERAGE(D34,G34,J34))</f>
      </c>
      <c r="N34"/>
      <c r="O34"/>
      <c r="P34"/>
      <c r="Q34"/>
      <c r="R34"/>
      <c r="S34" s="15"/>
      <c r="T34" s="15"/>
      <c r="U34" s="15"/>
      <c r="V34" s="154"/>
    </row>
    <row r="35" spans="1:22" ht="12.75">
      <c r="A35" s="171">
        <f>NDES</f>
        <v>75</v>
      </c>
      <c r="B35" s="91">
        <f>FindHeight(3,1,A35)</f>
      </c>
      <c r="C35" s="92">
        <f>IF(OR(B35="",CalculatedGmb=2),"",(100000*Mass31)/(B35*AREA*AvgGmm3))</f>
      </c>
      <c r="D35" s="92">
        <f>IF(B35="","",(GmbMeas31/AvgGmm3)*(B36/B35)*100)</f>
      </c>
      <c r="E35" s="91">
        <f>FindHeight(3,2,A35)</f>
      </c>
      <c r="F35" s="92">
        <f>IF(OR(E35="",CalculatedGmb=2),"",(100000*Mass32)/(E35*AREA*AvgGmm3))</f>
      </c>
      <c r="G35" s="92">
        <f>IF(E35="","",(GmbMeas32/AvgGmm3)*(E36/E35)*100)</f>
      </c>
      <c r="H35" s="91">
        <f>FindHeight(3,3,A35)</f>
      </c>
      <c r="I35" s="92">
        <f>IF(OR(H35="",CalculatedGmb=2),"",(100000*Mass33)/(H35*AREA*AvgGmm3))</f>
      </c>
      <c r="J35" s="92">
        <f>IF(H35="","",(GmbMeas33/AvgGmm3)*(H36/H35)*100)</f>
      </c>
      <c r="K35" s="95">
        <f>IF(AND((D35=""),(G35=""),(J35="")),"",AVERAGE(D35,G35,J35))</f>
      </c>
      <c r="N35"/>
      <c r="O35"/>
      <c r="P35"/>
      <c r="Q35"/>
      <c r="R35"/>
      <c r="S35" s="15"/>
      <c r="T35" s="15"/>
      <c r="U35" s="15"/>
      <c r="V35" s="154"/>
    </row>
    <row r="36" spans="1:22" ht="12.75">
      <c r="A36" s="171">
        <f>NMAX</f>
        <v>115</v>
      </c>
      <c r="B36" s="96">
        <f>FindHeight(3,1,A36)</f>
      </c>
      <c r="C36" s="92">
        <f>IF(OR(B36="",CalculatedGmb=2),"",(100000*Mass31)/(B36*AREA*AvgGmm3))</f>
      </c>
      <c r="D36" s="92">
        <f>IF(B36="","",(GmbMeas31/AvgGmm3)*(B36/B36)*100)</f>
      </c>
      <c r="E36" s="96">
        <f>FindHeight(3,2,A36)</f>
      </c>
      <c r="F36" s="92">
        <f>IF(OR(E36="",CalculatedGmb=2),"",(100000*Mass32)/(E36*AREA*AvgGmm3))</f>
      </c>
      <c r="G36" s="92">
        <f>IF(E36="","",(GmbMeas32/AvgGmm3)*(E36/E36)*100)</f>
      </c>
      <c r="H36" s="96">
        <f>FindHeight(3,3,A36)</f>
      </c>
      <c r="I36" s="92">
        <f>IF(OR(H36="",CalculatedGmb=2),"",(100000*Mass33)/(H36*AREA*AvgGmm3))</f>
      </c>
      <c r="J36" s="92">
        <f>IF(H36="","",(GmbMeas33/AvgGmm3)*(H36/H36)*100)</f>
      </c>
      <c r="K36" s="95">
        <f>IF(AND((D36=""),(G36=""),(J36="")),"",AVERAGE(D36,G36,J36))</f>
      </c>
      <c r="L36"/>
      <c r="N36"/>
      <c r="O36"/>
      <c r="P36"/>
      <c r="Q36"/>
      <c r="R36"/>
      <c r="S36" s="15"/>
      <c r="T36" s="15"/>
      <c r="U36" s="15"/>
      <c r="V36" s="154"/>
    </row>
    <row r="37" spans="1:21" ht="12.75">
      <c r="A37" s="46" t="s">
        <v>84</v>
      </c>
      <c r="B37" s="100">
        <f>GmbMeas31</f>
      </c>
      <c r="C37" s="47"/>
      <c r="D37" s="48"/>
      <c r="E37" s="100">
        <f>GmbMeas32</f>
      </c>
      <c r="F37" s="47"/>
      <c r="G37" s="48"/>
      <c r="H37" s="100">
        <f>GmbMeas33</f>
      </c>
      <c r="I37" s="47"/>
      <c r="J37" s="48"/>
      <c r="K37" s="33"/>
      <c r="N37"/>
      <c r="O37"/>
      <c r="P37"/>
      <c r="Q37"/>
      <c r="R37"/>
      <c r="S37" s="15"/>
      <c r="T37" s="15"/>
      <c r="U37" s="15"/>
    </row>
    <row r="38" spans="1:18" ht="12.75">
      <c r="A38" s="41" t="s">
        <v>85</v>
      </c>
      <c r="B38" s="101">
        <f>IF(ISERROR(AvgGmm3),"",AvgGmm3)</f>
        <v>0</v>
      </c>
      <c r="C38" s="50"/>
      <c r="D38" s="51"/>
      <c r="E38" s="49"/>
      <c r="F38" s="50"/>
      <c r="G38" s="51"/>
      <c r="H38" s="49"/>
      <c r="I38" s="50"/>
      <c r="J38" s="51"/>
      <c r="K38" s="45"/>
      <c r="L38" s="58"/>
      <c r="N38"/>
      <c r="O38"/>
      <c r="P38"/>
      <c r="Q38"/>
      <c r="R38"/>
    </row>
    <row r="39" spans="1:18" ht="12.75">
      <c r="A39"/>
      <c r="B39"/>
      <c r="C39"/>
      <c r="D39"/>
      <c r="E39"/>
      <c r="F39"/>
      <c r="G39"/>
      <c r="H39"/>
      <c r="I39"/>
      <c r="J39"/>
      <c r="K39"/>
      <c r="L39" s="58"/>
      <c r="N39"/>
      <c r="O39"/>
      <c r="P39"/>
      <c r="Q39"/>
      <c r="R39"/>
    </row>
    <row r="40" spans="1:18" ht="12.75">
      <c r="A40"/>
      <c r="B40"/>
      <c r="C40"/>
      <c r="D40"/>
      <c r="E40"/>
      <c r="F40"/>
      <c r="G40"/>
      <c r="H40"/>
      <c r="I40"/>
      <c r="J40"/>
      <c r="K40"/>
      <c r="N40"/>
      <c r="O40"/>
      <c r="P40"/>
      <c r="Q40"/>
      <c r="R40"/>
    </row>
    <row r="41" spans="1:18" ht="12.75">
      <c r="A41" s="90" t="str">
        <f>IF(BlendID4="","Blend 4",BlendID4)</f>
        <v>Blend 4</v>
      </c>
      <c r="B41" s="31"/>
      <c r="C41" s="169"/>
      <c r="D41" s="170"/>
      <c r="E41" s="170"/>
      <c r="F41" s="170"/>
      <c r="G41" s="170"/>
      <c r="H41" s="170"/>
      <c r="I41" s="170"/>
      <c r="J41" s="170"/>
      <c r="K41" s="170"/>
      <c r="N41"/>
      <c r="O41"/>
      <c r="P41"/>
      <c r="Q41"/>
      <c r="R41"/>
    </row>
    <row r="42" spans="1:18" ht="12.75">
      <c r="A42" s="33"/>
      <c r="B42" s="34" t="s">
        <v>1</v>
      </c>
      <c r="C42" s="35"/>
      <c r="D42" s="36"/>
      <c r="E42" s="34" t="s">
        <v>2</v>
      </c>
      <c r="F42" s="35"/>
      <c r="G42" s="36"/>
      <c r="H42" s="34" t="s">
        <v>3</v>
      </c>
      <c r="I42" s="35"/>
      <c r="J42" s="36"/>
      <c r="K42" s="33"/>
      <c r="N42"/>
      <c r="O42"/>
      <c r="P42"/>
      <c r="Q42"/>
      <c r="R42"/>
    </row>
    <row r="43" spans="1:18" ht="12.75">
      <c r="A43" s="37" t="s">
        <v>77</v>
      </c>
      <c r="B43" s="38" t="s">
        <v>78</v>
      </c>
      <c r="C43" s="39" t="s">
        <v>79</v>
      </c>
      <c r="D43" s="40" t="s">
        <v>79</v>
      </c>
      <c r="E43" s="38" t="s">
        <v>78</v>
      </c>
      <c r="F43" s="39" t="s">
        <v>79</v>
      </c>
      <c r="G43" s="40" t="s">
        <v>79</v>
      </c>
      <c r="H43" s="38" t="s">
        <v>78</v>
      </c>
      <c r="I43" s="39" t="s">
        <v>79</v>
      </c>
      <c r="J43" s="40" t="s">
        <v>79</v>
      </c>
      <c r="K43" s="37" t="s">
        <v>80</v>
      </c>
      <c r="N43"/>
      <c r="O43"/>
      <c r="P43"/>
      <c r="Q43"/>
      <c r="R43"/>
    </row>
    <row r="44" spans="1:18" ht="12.75">
      <c r="A44" s="41"/>
      <c r="B44" s="42" t="s">
        <v>81</v>
      </c>
      <c r="C44" s="43" t="s">
        <v>82</v>
      </c>
      <c r="D44" s="44" t="s">
        <v>83</v>
      </c>
      <c r="E44" s="42" t="s">
        <v>81</v>
      </c>
      <c r="F44" s="43" t="s">
        <v>82</v>
      </c>
      <c r="G44" s="44" t="s">
        <v>83</v>
      </c>
      <c r="H44" s="42" t="s">
        <v>81</v>
      </c>
      <c r="I44" s="43" t="s">
        <v>82</v>
      </c>
      <c r="J44" s="44" t="s">
        <v>83</v>
      </c>
      <c r="K44" s="45"/>
      <c r="N44"/>
      <c r="O44"/>
      <c r="P44"/>
      <c r="Q44"/>
      <c r="R44"/>
    </row>
    <row r="45" spans="1:18" ht="12.75">
      <c r="A45" s="171">
        <f>NINI</f>
        <v>7</v>
      </c>
      <c r="B45" s="91">
        <f>FindHeight(4,1,A45)</f>
      </c>
      <c r="C45" s="92">
        <f>IF(OR(B45="",CalculatedGmb=2),"",(100000*Mass41)/(B45*AREA*AvgGmm4))</f>
      </c>
      <c r="D45" s="92">
        <f>IF(B45="","",(GmbMeas41/AvgGmm4)*(B47/B45)*100)</f>
      </c>
      <c r="E45" s="91">
        <f>FindHeight(4,2,A45)</f>
      </c>
      <c r="F45" s="92">
        <f>IF(OR(E45="",CalculatedGmb=2),"",(100000*Mass42)/(E45*AREA*AvgGmm4))</f>
      </c>
      <c r="G45" s="92">
        <f>IF(E45="","",(GmbMeas42/AvgGmm4)*(E47/E45)*100)</f>
      </c>
      <c r="H45" s="91">
        <f>FindHeight(4,3,A45)</f>
      </c>
      <c r="I45" s="92">
        <f>IF(OR(H45="",CalculatedGmb=2),"",(100000*Mass43)/(H45*AREA*AvgGmm4))</f>
      </c>
      <c r="J45" s="92">
        <f>IF(H45="","",(GmbMeas43/AvgGmm4)*(H47/H45)*100)</f>
      </c>
      <c r="K45" s="95">
        <f>IF(AND((D45=""),(G45=""),(J45="")),"",AVERAGE(D45,G45,J45))</f>
      </c>
      <c r="N45"/>
      <c r="O45"/>
      <c r="P45"/>
      <c r="Q45"/>
      <c r="R45"/>
    </row>
    <row r="46" spans="1:18" ht="12.75">
      <c r="A46" s="171">
        <f>NDES</f>
        <v>75</v>
      </c>
      <c r="B46" s="91">
        <f>FindHeight(4,1,A46)</f>
      </c>
      <c r="C46" s="92">
        <f>IF(OR(B46="",CalculatedGmb=2),"",(100000*Mass41)/(B46*AREA*AvgGmm4))</f>
      </c>
      <c r="D46" s="92">
        <f>IF(B46="","",(GmbMeas41/AvgGmm4)*(B47/B46)*100)</f>
      </c>
      <c r="E46" s="91">
        <f>FindHeight(4,2,A46)</f>
      </c>
      <c r="F46" s="92">
        <f>IF(OR(E46="",CalculatedGmb=2),"",(100000*Mass42)/(E46*AREA*AvgGmm4))</f>
      </c>
      <c r="G46" s="92">
        <f>IF(E46="","",(GmbMeas42/AvgGmm4)*(E47/E46)*100)</f>
      </c>
      <c r="H46" s="91">
        <f>FindHeight(4,3,A46)</f>
      </c>
      <c r="I46" s="92">
        <f>IF(OR(H46="",CalculatedGmb=2),"",(100000*Mass43)/(H46*AREA*AvgGmm4))</f>
      </c>
      <c r="J46" s="92">
        <f>IF(H46="","",(GmbMeas43/AvgGmm4)*(H47/H46)*100)</f>
      </c>
      <c r="K46" s="95">
        <f>IF(AND((D46=""),(G46=""),(J46="")),"",AVERAGE(D46,G46,J46))</f>
      </c>
      <c r="N46"/>
      <c r="O46"/>
      <c r="P46"/>
      <c r="Q46"/>
      <c r="R46"/>
    </row>
    <row r="47" spans="1:18" ht="12.75">
      <c r="A47" s="171">
        <f>NMAX</f>
        <v>115</v>
      </c>
      <c r="B47" s="96">
        <f>FindHeight(4,1,A47)</f>
      </c>
      <c r="C47" s="92">
        <f>IF(OR(B47="",CalculatedGmb=2),"",(100000*Mass41)/(B47*AREA*AvgGmm4))</f>
      </c>
      <c r="D47" s="92">
        <f>IF(B47="","",(GmbMeas41/AvgGmm4)*(B47/B47)*100)</f>
      </c>
      <c r="E47" s="96">
        <f>FindHeight(4,2,A47)</f>
      </c>
      <c r="F47" s="92">
        <f>IF(OR(E47="",CalculatedGmb=2),"",(100000*Mass42)/(E47*AREA*AvgGmm4))</f>
      </c>
      <c r="G47" s="92">
        <f>IF(E47="","",(GmbMeas42/AvgGmm4)*(E47/E47)*100)</f>
      </c>
      <c r="H47" s="96">
        <f>FindHeight(4,3,A47)</f>
      </c>
      <c r="I47" s="92">
        <f>IF(OR(H47="",CalculatedGmb=2),"",(100000*Mass43)/(H47*AREA*AvgGmm4))</f>
      </c>
      <c r="J47" s="92">
        <f>IF(H47="","",(GmbMeas43/AvgGmm4)*(H47/H47)*100)</f>
      </c>
      <c r="K47" s="95">
        <f>IF(AND((D47=""),(G47=""),(J47="")),"",AVERAGE(D47,G47,J47))</f>
      </c>
      <c r="L47"/>
      <c r="N47"/>
      <c r="O47"/>
      <c r="P47"/>
      <c r="Q47"/>
      <c r="R47"/>
    </row>
    <row r="48" spans="1:18" ht="12.75">
      <c r="A48" s="46" t="s">
        <v>84</v>
      </c>
      <c r="B48" s="100">
        <f>GmbMeas41</f>
      </c>
      <c r="C48" s="47"/>
      <c r="D48" s="48"/>
      <c r="E48" s="100">
        <f>GmbMeas42</f>
      </c>
      <c r="F48" s="47"/>
      <c r="G48" s="48"/>
      <c r="H48" s="100">
        <f>GmbMeas43</f>
      </c>
      <c r="I48" s="47"/>
      <c r="J48" s="48"/>
      <c r="K48" s="33"/>
      <c r="N48"/>
      <c r="O48"/>
      <c r="P48"/>
      <c r="Q48"/>
      <c r="R48"/>
    </row>
    <row r="49" spans="1:18" ht="12.75">
      <c r="A49" s="41" t="s">
        <v>85</v>
      </c>
      <c r="B49" s="101">
        <f>IF(ISERROR(AvgGmm4),"",AvgGmm4)</f>
        <v>0</v>
      </c>
      <c r="C49" s="50"/>
      <c r="D49" s="51"/>
      <c r="E49" s="49"/>
      <c r="F49" s="50"/>
      <c r="G49" s="51"/>
      <c r="H49" s="49"/>
      <c r="I49" s="50"/>
      <c r="J49" s="51"/>
      <c r="K49" s="45"/>
      <c r="N49"/>
      <c r="O49"/>
      <c r="P49"/>
      <c r="Q49"/>
      <c r="R49"/>
    </row>
    <row r="50" spans="1:18" ht="12.75">
      <c r="A50"/>
      <c r="B50"/>
      <c r="C50"/>
      <c r="D50"/>
      <c r="E50"/>
      <c r="F50"/>
      <c r="G50"/>
      <c r="H50"/>
      <c r="I50"/>
      <c r="J50"/>
      <c r="K50"/>
      <c r="N50"/>
      <c r="O50"/>
      <c r="P50"/>
      <c r="Q50"/>
      <c r="R50"/>
    </row>
    <row r="51" spans="1:11" ht="12.75">
      <c r="A51"/>
      <c r="B51"/>
      <c r="C51"/>
      <c r="D51"/>
      <c r="E51"/>
      <c r="F51"/>
      <c r="G51"/>
      <c r="H51"/>
      <c r="I51"/>
      <c r="J51"/>
      <c r="K51"/>
    </row>
    <row r="54" spans="1:11" ht="12.75">
      <c r="A54"/>
      <c r="B54"/>
      <c r="C54"/>
      <c r="D54"/>
      <c r="E54"/>
      <c r="F54"/>
      <c r="G54"/>
      <c r="H54"/>
      <c r="I54"/>
      <c r="J54"/>
      <c r="K54"/>
    </row>
    <row r="55" spans="1:11" ht="12.75">
      <c r="A55"/>
      <c r="B55"/>
      <c r="C55"/>
      <c r="D55"/>
      <c r="E55"/>
      <c r="F55"/>
      <c r="G55"/>
      <c r="H55"/>
      <c r="I55"/>
      <c r="J55"/>
      <c r="K55"/>
    </row>
    <row r="56" spans="1:11" ht="12.75">
      <c r="A56"/>
      <c r="B56"/>
      <c r="C56"/>
      <c r="D56"/>
      <c r="E56"/>
      <c r="F56"/>
      <c r="G56"/>
      <c r="H56"/>
      <c r="I56"/>
      <c r="J56"/>
      <c r="K56"/>
    </row>
    <row r="57" spans="1:11" ht="12.75">
      <c r="A57"/>
      <c r="B57"/>
      <c r="C57"/>
      <c r="D57"/>
      <c r="E57"/>
      <c r="F57"/>
      <c r="G57"/>
      <c r="H57"/>
      <c r="I57"/>
      <c r="J57"/>
      <c r="K57"/>
    </row>
    <row r="58" spans="1:11" ht="12.75">
      <c r="A58"/>
      <c r="B58"/>
      <c r="C58"/>
      <c r="D58"/>
      <c r="E58"/>
      <c r="F58"/>
      <c r="G58"/>
      <c r="H58"/>
      <c r="I58"/>
      <c r="J58"/>
      <c r="K58"/>
    </row>
    <row r="59" spans="1:11" ht="12.75">
      <c r="A59"/>
      <c r="B59"/>
      <c r="C59"/>
      <c r="D59"/>
      <c r="E59"/>
      <c r="F59"/>
      <c r="G59"/>
      <c r="H59"/>
      <c r="I59"/>
      <c r="J59"/>
      <c r="K59"/>
    </row>
    <row r="60" spans="1:11" ht="12.75">
      <c r="A60"/>
      <c r="B60"/>
      <c r="C60"/>
      <c r="D60"/>
      <c r="E60"/>
      <c r="F60"/>
      <c r="G60"/>
      <c r="H60"/>
      <c r="I60"/>
      <c r="J60"/>
      <c r="K60"/>
    </row>
    <row r="61" spans="1:11" ht="12.75">
      <c r="A61"/>
      <c r="B61"/>
      <c r="C61"/>
      <c r="D61"/>
      <c r="E61"/>
      <c r="F61"/>
      <c r="G61"/>
      <c r="H61"/>
      <c r="I61"/>
      <c r="J61"/>
      <c r="K61"/>
    </row>
    <row r="62" spans="1:11" ht="12.75">
      <c r="A62"/>
      <c r="B62"/>
      <c r="C62"/>
      <c r="D62"/>
      <c r="E62"/>
      <c r="F62"/>
      <c r="G62"/>
      <c r="H62"/>
      <c r="I62"/>
      <c r="J62"/>
      <c r="K62"/>
    </row>
    <row r="63" spans="1:11" ht="12.75">
      <c r="A63"/>
      <c r="B63"/>
      <c r="C63"/>
      <c r="D63"/>
      <c r="E63"/>
      <c r="F63"/>
      <c r="G63"/>
      <c r="H63"/>
      <c r="I63"/>
      <c r="J63"/>
      <c r="K63"/>
    </row>
    <row r="64" spans="1:11" ht="12.75">
      <c r="A64"/>
      <c r="B64"/>
      <c r="C64"/>
      <c r="D64"/>
      <c r="E64"/>
      <c r="F64"/>
      <c r="G64"/>
      <c r="H64"/>
      <c r="I64"/>
      <c r="J64"/>
      <c r="K64"/>
    </row>
    <row r="65" spans="1:11" ht="12.75">
      <c r="A65"/>
      <c r="B65"/>
      <c r="C65"/>
      <c r="D65"/>
      <c r="E65"/>
      <c r="F65"/>
      <c r="G65"/>
      <c r="H65"/>
      <c r="I65"/>
      <c r="J65"/>
      <c r="K65"/>
    </row>
    <row r="66" spans="1:11" ht="12.75">
      <c r="A66"/>
      <c r="B66"/>
      <c r="C66"/>
      <c r="D66"/>
      <c r="E66"/>
      <c r="F66"/>
      <c r="G66"/>
      <c r="H66"/>
      <c r="I66"/>
      <c r="J66"/>
      <c r="K66"/>
    </row>
    <row r="67" spans="1:11" ht="12.75">
      <c r="A67"/>
      <c r="B67"/>
      <c r="C67"/>
      <c r="D67"/>
      <c r="E67"/>
      <c r="F67"/>
      <c r="G67"/>
      <c r="H67"/>
      <c r="I67"/>
      <c r="J67"/>
      <c r="K67"/>
    </row>
    <row r="68" spans="1:11" ht="12.75">
      <c r="A68"/>
      <c r="B68"/>
      <c r="C68"/>
      <c r="D68"/>
      <c r="E68"/>
      <c r="F68"/>
      <c r="G68"/>
      <c r="H68"/>
      <c r="I68"/>
      <c r="J68"/>
      <c r="K68"/>
    </row>
    <row r="69" spans="1:11" ht="12.75">
      <c r="A69"/>
      <c r="B69"/>
      <c r="C69"/>
      <c r="D69"/>
      <c r="E69"/>
      <c r="F69"/>
      <c r="G69"/>
      <c r="H69"/>
      <c r="I69"/>
      <c r="J69"/>
      <c r="K69"/>
    </row>
    <row r="70" spans="1:11" ht="12.75">
      <c r="A70"/>
      <c r="B70"/>
      <c r="C70"/>
      <c r="D70"/>
      <c r="E70"/>
      <c r="F70"/>
      <c r="G70"/>
      <c r="H70"/>
      <c r="I70"/>
      <c r="J70"/>
      <c r="K70"/>
    </row>
    <row r="71" spans="1:11" ht="12.75">
      <c r="A71"/>
      <c r="B71"/>
      <c r="C71"/>
      <c r="D71"/>
      <c r="E71"/>
      <c r="F71"/>
      <c r="G71"/>
      <c r="H71"/>
      <c r="I71"/>
      <c r="J71"/>
      <c r="K71"/>
    </row>
    <row r="72" spans="1:11" ht="12.75">
      <c r="A72"/>
      <c r="B72"/>
      <c r="C72"/>
      <c r="D72"/>
      <c r="E72"/>
      <c r="F72"/>
      <c r="G72"/>
      <c r="H72"/>
      <c r="I72"/>
      <c r="J72"/>
      <c r="K72"/>
    </row>
    <row r="73" spans="1:11" ht="12.75">
      <c r="A73"/>
      <c r="B73"/>
      <c r="C73"/>
      <c r="D73"/>
      <c r="E73"/>
      <c r="F73"/>
      <c r="G73"/>
      <c r="H73"/>
      <c r="I73"/>
      <c r="J73"/>
      <c r="K73"/>
    </row>
    <row r="74" spans="1:11" ht="12.75">
      <c r="A74"/>
      <c r="B74"/>
      <c r="C74"/>
      <c r="D74"/>
      <c r="E74"/>
      <c r="F74"/>
      <c r="G74"/>
      <c r="H74"/>
      <c r="I74"/>
      <c r="J74"/>
      <c r="K74"/>
    </row>
    <row r="75" spans="1:11" ht="12.75">
      <c r="A75" s="15"/>
      <c r="B75" s="15"/>
      <c r="C75" s="15"/>
      <c r="D75" s="15"/>
      <c r="E75" s="15"/>
      <c r="F75" s="15"/>
      <c r="G75" s="15"/>
      <c r="H75" s="15"/>
      <c r="I75" s="15"/>
      <c r="J75" s="15"/>
      <c r="K75" s="15"/>
    </row>
    <row r="76" spans="1:27" ht="12.75">
      <c r="A76" s="15"/>
      <c r="B76" s="15"/>
      <c r="C76" s="15"/>
      <c r="D76" s="15"/>
      <c r="E76" s="15"/>
      <c r="F76" s="15"/>
      <c r="G76" s="15"/>
      <c r="H76" s="15"/>
      <c r="I76" s="15"/>
      <c r="J76" s="15"/>
      <c r="K76" s="15"/>
      <c r="N76" s="121"/>
      <c r="O76" s="121"/>
      <c r="P76" s="121"/>
      <c r="Q76" s="121"/>
      <c r="R76" s="121"/>
      <c r="S76" s="121"/>
      <c r="T76" s="121"/>
      <c r="U76" s="121"/>
      <c r="V76" s="121"/>
      <c r="W76" s="121"/>
      <c r="X76" s="121"/>
      <c r="Y76" s="121"/>
      <c r="Z76" s="121"/>
      <c r="AA76" s="121"/>
    </row>
    <row r="77" spans="1:27" ht="12.75">
      <c r="A77" s="15"/>
      <c r="B77" s="15"/>
      <c r="C77" s="15"/>
      <c r="D77" s="15"/>
      <c r="E77" s="15"/>
      <c r="F77" s="15"/>
      <c r="G77" s="15"/>
      <c r="H77" s="15"/>
      <c r="I77" s="15"/>
      <c r="J77" s="15"/>
      <c r="K77" s="15"/>
      <c r="N77" s="121"/>
      <c r="O77" s="121"/>
      <c r="P77" s="121"/>
      <c r="Q77" s="121"/>
      <c r="R77" s="121"/>
      <c r="S77" s="121"/>
      <c r="T77" s="121"/>
      <c r="U77" s="121"/>
      <c r="V77" s="121"/>
      <c r="W77" s="121"/>
      <c r="X77" s="121"/>
      <c r="Y77" s="121"/>
      <c r="Z77" s="121"/>
      <c r="AA77" s="121"/>
    </row>
    <row r="78" spans="1:27" ht="12.75">
      <c r="A78" s="15"/>
      <c r="B78" s="15"/>
      <c r="C78" s="15"/>
      <c r="D78" s="15"/>
      <c r="E78" s="15"/>
      <c r="F78" s="15"/>
      <c r="G78" s="15"/>
      <c r="H78" s="15"/>
      <c r="I78" s="15"/>
      <c r="J78" s="15"/>
      <c r="K78" s="15"/>
      <c r="N78" s="121"/>
      <c r="O78" s="121"/>
      <c r="P78" s="121"/>
      <c r="Q78" s="121"/>
      <c r="R78" s="121"/>
      <c r="S78" s="121"/>
      <c r="T78" s="121"/>
      <c r="U78" s="121"/>
      <c r="V78" s="121"/>
      <c r="W78" s="121"/>
      <c r="X78" s="121"/>
      <c r="Y78" s="121"/>
      <c r="Z78" s="121"/>
      <c r="AA78" s="121"/>
    </row>
    <row r="79" spans="1:27" ht="12.75">
      <c r="A79" s="15"/>
      <c r="B79" s="15"/>
      <c r="C79" s="15"/>
      <c r="D79" s="15"/>
      <c r="E79" s="15"/>
      <c r="F79" s="15"/>
      <c r="G79" s="15"/>
      <c r="H79" s="15"/>
      <c r="I79" s="15"/>
      <c r="J79" s="15"/>
      <c r="K79" s="15"/>
      <c r="N79" s="121"/>
      <c r="O79" s="121"/>
      <c r="P79" s="121"/>
      <c r="Q79" s="121"/>
      <c r="R79" s="121"/>
      <c r="S79" s="121"/>
      <c r="T79" s="121"/>
      <c r="U79" s="121"/>
      <c r="V79" s="121"/>
      <c r="W79" s="121"/>
      <c r="X79" s="121"/>
      <c r="Y79" s="121"/>
      <c r="Z79" s="121"/>
      <c r="AA79" s="121"/>
    </row>
    <row r="80" spans="1:27" ht="12.75">
      <c r="A80" s="15"/>
      <c r="B80" s="15"/>
      <c r="C80" s="15"/>
      <c r="D80" s="15"/>
      <c r="E80" s="15"/>
      <c r="F80" s="15"/>
      <c r="G80" s="15"/>
      <c r="H80" s="15"/>
      <c r="I80" s="15"/>
      <c r="J80" s="15"/>
      <c r="K80" s="15"/>
      <c r="N80" s="121"/>
      <c r="O80" s="121"/>
      <c r="P80" s="121"/>
      <c r="Q80" s="121"/>
      <c r="R80" s="121"/>
      <c r="S80" s="121"/>
      <c r="T80" s="121"/>
      <c r="U80" s="121"/>
      <c r="V80" s="121"/>
      <c r="W80" s="121"/>
      <c r="X80" s="121"/>
      <c r="Y80" s="121"/>
      <c r="Z80" s="121"/>
      <c r="AA80" s="121"/>
    </row>
    <row r="81" spans="1:27" ht="12.75">
      <c r="A81"/>
      <c r="B81"/>
      <c r="C81"/>
      <c r="D81"/>
      <c r="E81"/>
      <c r="F81"/>
      <c r="G81"/>
      <c r="H81"/>
      <c r="I81"/>
      <c r="J81"/>
      <c r="K81"/>
      <c r="N81" s="121"/>
      <c r="O81" s="121"/>
      <c r="P81" s="121"/>
      <c r="Q81" s="121"/>
      <c r="R81" s="121"/>
      <c r="S81" s="121"/>
      <c r="T81" s="121"/>
      <c r="U81" s="121"/>
      <c r="V81" s="121"/>
      <c r="W81" s="121"/>
      <c r="X81" s="121"/>
      <c r="Y81" s="121"/>
      <c r="Z81" s="121"/>
      <c r="AA81" s="121"/>
    </row>
    <row r="82" spans="1:27" ht="12.75">
      <c r="A82"/>
      <c r="B82"/>
      <c r="C82"/>
      <c r="D82"/>
      <c r="E82"/>
      <c r="F82"/>
      <c r="G82"/>
      <c r="H82"/>
      <c r="I82"/>
      <c r="J82"/>
      <c r="K82"/>
      <c r="N82" s="121"/>
      <c r="O82" s="121"/>
      <c r="P82" s="121"/>
      <c r="Q82" s="121"/>
      <c r="R82" s="121"/>
      <c r="S82" s="121"/>
      <c r="T82" s="121"/>
      <c r="U82" s="121"/>
      <c r="V82" s="121"/>
      <c r="W82" s="121"/>
      <c r="X82" s="121"/>
      <c r="Y82" s="121"/>
      <c r="Z82" s="121"/>
      <c r="AA82" s="121"/>
    </row>
    <row r="83" spans="1:27" ht="12.75">
      <c r="A83"/>
      <c r="B83"/>
      <c r="C83"/>
      <c r="D83"/>
      <c r="E83"/>
      <c r="F83"/>
      <c r="G83"/>
      <c r="H83"/>
      <c r="I83"/>
      <c r="J83"/>
      <c r="K83"/>
      <c r="N83" s="121"/>
      <c r="O83" s="121"/>
      <c r="P83" s="121"/>
      <c r="Q83" s="121"/>
      <c r="R83" s="121"/>
      <c r="S83" s="121"/>
      <c r="T83" s="121"/>
      <c r="U83" s="121"/>
      <c r="V83" s="121"/>
      <c r="W83" s="121"/>
      <c r="X83" s="121"/>
      <c r="Y83" s="121"/>
      <c r="Z83" s="121"/>
      <c r="AA83" s="121"/>
    </row>
    <row r="84" spans="1:27" ht="12.75">
      <c r="A84"/>
      <c r="B84"/>
      <c r="C84"/>
      <c r="D84"/>
      <c r="E84"/>
      <c r="F84"/>
      <c r="G84"/>
      <c r="H84"/>
      <c r="I84"/>
      <c r="J84"/>
      <c r="K84"/>
      <c r="N84" s="121"/>
      <c r="O84" s="121"/>
      <c r="P84" s="121"/>
      <c r="Q84" s="121"/>
      <c r="R84" s="121"/>
      <c r="S84" s="121"/>
      <c r="T84" s="121"/>
      <c r="U84" s="121"/>
      <c r="V84" s="121"/>
      <c r="W84" s="121"/>
      <c r="X84" s="121"/>
      <c r="Y84" s="121"/>
      <c r="Z84" s="121"/>
      <c r="AA84" s="121"/>
    </row>
    <row r="85" spans="1:27" ht="12.75">
      <c r="A85"/>
      <c r="B85"/>
      <c r="C85"/>
      <c r="D85"/>
      <c r="E85"/>
      <c r="F85"/>
      <c r="G85"/>
      <c r="H85"/>
      <c r="I85"/>
      <c r="J85"/>
      <c r="K85"/>
      <c r="N85" s="121"/>
      <c r="O85" s="121"/>
      <c r="P85" s="121"/>
      <c r="Q85" s="121"/>
      <c r="R85" s="121"/>
      <c r="S85" s="121"/>
      <c r="T85" s="121"/>
      <c r="U85" s="121"/>
      <c r="V85" s="121"/>
      <c r="W85" s="121"/>
      <c r="X85" s="121"/>
      <c r="Y85" s="121"/>
      <c r="Z85" s="121"/>
      <c r="AA85" s="121"/>
    </row>
    <row r="86" spans="1:27" ht="12.75">
      <c r="A86"/>
      <c r="B86"/>
      <c r="C86"/>
      <c r="D86"/>
      <c r="E86"/>
      <c r="F86"/>
      <c r="G86"/>
      <c r="H86"/>
      <c r="I86"/>
      <c r="J86"/>
      <c r="K86"/>
      <c r="N86" s="121"/>
      <c r="O86" s="121"/>
      <c r="P86" s="121"/>
      <c r="Q86" s="121"/>
      <c r="R86" s="121"/>
      <c r="S86" s="121"/>
      <c r="T86" s="121"/>
      <c r="U86" s="121"/>
      <c r="V86" s="121"/>
      <c r="W86" s="121"/>
      <c r="X86" s="121"/>
      <c r="Y86" s="121"/>
      <c r="Z86" s="121"/>
      <c r="AA86" s="121"/>
    </row>
    <row r="87" spans="1:27" ht="12.75">
      <c r="A87"/>
      <c r="B87"/>
      <c r="C87"/>
      <c r="D87"/>
      <c r="E87"/>
      <c r="F87"/>
      <c r="G87"/>
      <c r="H87"/>
      <c r="I87"/>
      <c r="J87"/>
      <c r="K87"/>
      <c r="N87" s="121"/>
      <c r="O87" s="121"/>
      <c r="P87" s="121"/>
      <c r="Q87" s="121"/>
      <c r="R87" s="121"/>
      <c r="S87" s="121"/>
      <c r="T87" s="121"/>
      <c r="U87" s="121"/>
      <c r="V87" s="121"/>
      <c r="W87" s="121"/>
      <c r="X87" s="121"/>
      <c r="Y87" s="121"/>
      <c r="Z87" s="121"/>
      <c r="AA87" s="121"/>
    </row>
    <row r="88" spans="1:27" ht="12.75">
      <c r="A88"/>
      <c r="B88"/>
      <c r="C88"/>
      <c r="D88"/>
      <c r="E88"/>
      <c r="F88"/>
      <c r="G88"/>
      <c r="H88"/>
      <c r="I88"/>
      <c r="J88"/>
      <c r="K88"/>
      <c r="N88" s="121"/>
      <c r="O88" s="121"/>
      <c r="P88" s="121"/>
      <c r="Q88" s="121"/>
      <c r="R88" s="121"/>
      <c r="S88" s="121"/>
      <c r="T88" s="121"/>
      <c r="U88" s="121"/>
      <c r="V88" s="121"/>
      <c r="W88" s="121"/>
      <c r="X88" s="121"/>
      <c r="Y88" s="121"/>
      <c r="Z88" s="121"/>
      <c r="AA88" s="121"/>
    </row>
    <row r="89" spans="1:27" ht="12.75">
      <c r="A89"/>
      <c r="B89"/>
      <c r="C89"/>
      <c r="D89"/>
      <c r="E89"/>
      <c r="F89"/>
      <c r="G89"/>
      <c r="H89"/>
      <c r="I89"/>
      <c r="J89"/>
      <c r="K89"/>
      <c r="N89" s="121"/>
      <c r="O89" s="121"/>
      <c r="P89" s="121"/>
      <c r="Q89" s="121"/>
      <c r="R89" s="121"/>
      <c r="S89" s="121"/>
      <c r="T89" s="121"/>
      <c r="U89" s="121"/>
      <c r="V89" s="121"/>
      <c r="W89" s="121"/>
      <c r="X89" s="121"/>
      <c r="Y89" s="121"/>
      <c r="Z89" s="121"/>
      <c r="AA89" s="121"/>
    </row>
    <row r="90" spans="1:27" ht="12.75">
      <c r="A90"/>
      <c r="B90"/>
      <c r="C90"/>
      <c r="D90"/>
      <c r="E90"/>
      <c r="F90"/>
      <c r="G90"/>
      <c r="H90"/>
      <c r="I90"/>
      <c r="J90"/>
      <c r="K90"/>
      <c r="N90" s="121"/>
      <c r="O90" s="121"/>
      <c r="P90" s="121"/>
      <c r="Q90" s="121"/>
      <c r="R90" s="121"/>
      <c r="S90" s="121"/>
      <c r="T90" s="121"/>
      <c r="U90" s="121"/>
      <c r="V90" s="121"/>
      <c r="W90" s="121"/>
      <c r="X90" s="121"/>
      <c r="Y90" s="121"/>
      <c r="Z90" s="121"/>
      <c r="AA90" s="121"/>
    </row>
    <row r="91" spans="1:27" ht="12.75">
      <c r="A91"/>
      <c r="B91"/>
      <c r="C91"/>
      <c r="D91"/>
      <c r="E91"/>
      <c r="F91"/>
      <c r="G91"/>
      <c r="H91"/>
      <c r="I91"/>
      <c r="J91"/>
      <c r="K91"/>
      <c r="N91" s="121"/>
      <c r="O91" s="121"/>
      <c r="P91" s="121"/>
      <c r="Q91" s="121"/>
      <c r="R91" s="121"/>
      <c r="S91" s="121"/>
      <c r="T91" s="121"/>
      <c r="U91" s="121"/>
      <c r="V91" s="121"/>
      <c r="W91" s="121"/>
      <c r="X91" s="121"/>
      <c r="Y91" s="121"/>
      <c r="Z91" s="121"/>
      <c r="AA91" s="121"/>
    </row>
    <row r="92" spans="1:27" ht="12.75">
      <c r="A92"/>
      <c r="B92"/>
      <c r="C92"/>
      <c r="D92"/>
      <c r="E92"/>
      <c r="F92"/>
      <c r="G92"/>
      <c r="H92"/>
      <c r="I92"/>
      <c r="J92"/>
      <c r="K92"/>
      <c r="N92" s="121"/>
      <c r="O92" s="121"/>
      <c r="P92" s="121"/>
      <c r="Q92" s="121"/>
      <c r="R92" s="121"/>
      <c r="S92" s="121"/>
      <c r="T92" s="121"/>
      <c r="U92" s="121"/>
      <c r="V92" s="121"/>
      <c r="W92" s="121"/>
      <c r="X92" s="121"/>
      <c r="Y92" s="121"/>
      <c r="Z92" s="121"/>
      <c r="AA92" s="121"/>
    </row>
    <row r="93" spans="1:27" ht="12.75">
      <c r="A93"/>
      <c r="B93"/>
      <c r="C93"/>
      <c r="D93"/>
      <c r="E93"/>
      <c r="F93"/>
      <c r="G93"/>
      <c r="H93"/>
      <c r="I93"/>
      <c r="J93"/>
      <c r="K93"/>
      <c r="N93" s="121"/>
      <c r="O93" s="121"/>
      <c r="P93" s="121"/>
      <c r="Q93" s="121"/>
      <c r="R93" s="121"/>
      <c r="S93" s="121"/>
      <c r="T93" s="121"/>
      <c r="U93" s="121"/>
      <c r="V93" s="121"/>
      <c r="W93" s="121"/>
      <c r="X93" s="121"/>
      <c r="Y93" s="121"/>
      <c r="Z93" s="121"/>
      <c r="AA93" s="121"/>
    </row>
    <row r="94" spans="1:27" ht="12.75">
      <c r="A94"/>
      <c r="B94"/>
      <c r="C94"/>
      <c r="D94"/>
      <c r="E94"/>
      <c r="F94"/>
      <c r="G94"/>
      <c r="H94"/>
      <c r="I94"/>
      <c r="J94"/>
      <c r="K94"/>
      <c r="N94" s="121"/>
      <c r="O94" s="121"/>
      <c r="P94" s="121"/>
      <c r="Q94" s="121"/>
      <c r="R94" s="121"/>
      <c r="S94" s="121"/>
      <c r="T94" s="121"/>
      <c r="U94" s="121"/>
      <c r="V94" s="121"/>
      <c r="W94" s="121"/>
      <c r="X94" s="121"/>
      <c r="Y94" s="121"/>
      <c r="Z94" s="121"/>
      <c r="AA94" s="121"/>
    </row>
    <row r="95" spans="1:27" ht="12.75">
      <c r="A95"/>
      <c r="B95"/>
      <c r="C95"/>
      <c r="D95"/>
      <c r="E95"/>
      <c r="F95"/>
      <c r="G95"/>
      <c r="H95"/>
      <c r="I95"/>
      <c r="J95"/>
      <c r="K95"/>
      <c r="N95" s="121"/>
      <c r="O95" s="121"/>
      <c r="P95" s="121"/>
      <c r="Q95" s="121"/>
      <c r="R95" s="121"/>
      <c r="S95" s="121"/>
      <c r="T95" s="121"/>
      <c r="U95" s="121"/>
      <c r="V95" s="121"/>
      <c r="W95" s="121"/>
      <c r="X95" s="121"/>
      <c r="Y95" s="121"/>
      <c r="Z95" s="121"/>
      <c r="AA95" s="121"/>
    </row>
    <row r="96" spans="1:27" ht="12.75">
      <c r="A96"/>
      <c r="B96"/>
      <c r="C96"/>
      <c r="D96"/>
      <c r="E96"/>
      <c r="F96"/>
      <c r="G96"/>
      <c r="H96"/>
      <c r="I96"/>
      <c r="J96"/>
      <c r="K96"/>
      <c r="N96" s="121"/>
      <c r="O96" s="121"/>
      <c r="P96" s="121"/>
      <c r="Q96" s="121"/>
      <c r="R96" s="121"/>
      <c r="S96" s="121"/>
      <c r="T96" s="121"/>
      <c r="U96" s="121"/>
      <c r="V96" s="121"/>
      <c r="W96" s="121"/>
      <c r="X96" s="121"/>
      <c r="Y96" s="121"/>
      <c r="Z96" s="121"/>
      <c r="AA96" s="121"/>
    </row>
    <row r="97" spans="1:27" ht="12.75">
      <c r="A97"/>
      <c r="B97"/>
      <c r="C97"/>
      <c r="D97"/>
      <c r="E97"/>
      <c r="F97"/>
      <c r="G97"/>
      <c r="H97"/>
      <c r="I97"/>
      <c r="J97"/>
      <c r="K97"/>
      <c r="N97" s="121"/>
      <c r="O97" s="121"/>
      <c r="P97" s="121"/>
      <c r="Q97" s="121"/>
      <c r="R97" s="121"/>
      <c r="S97" s="121"/>
      <c r="T97" s="121"/>
      <c r="U97" s="121"/>
      <c r="V97" s="121"/>
      <c r="W97" s="121"/>
      <c r="X97" s="121"/>
      <c r="Y97" s="121"/>
      <c r="Z97" s="121"/>
      <c r="AA97" s="121"/>
    </row>
    <row r="98" spans="1:27" ht="12.75">
      <c r="A98"/>
      <c r="B98"/>
      <c r="C98"/>
      <c r="D98"/>
      <c r="E98"/>
      <c r="F98"/>
      <c r="G98"/>
      <c r="H98"/>
      <c r="I98"/>
      <c r="J98"/>
      <c r="K98"/>
      <c r="N98" s="121"/>
      <c r="O98" s="121"/>
      <c r="P98" s="121"/>
      <c r="Q98" s="121"/>
      <c r="R98" s="121"/>
      <c r="S98" s="121"/>
      <c r="T98" s="121"/>
      <c r="U98" s="121"/>
      <c r="V98" s="121"/>
      <c r="W98" s="121"/>
      <c r="X98" s="121"/>
      <c r="Y98" s="121"/>
      <c r="Z98" s="121"/>
      <c r="AA98" s="121"/>
    </row>
    <row r="99" spans="1:27" ht="12.75">
      <c r="A99"/>
      <c r="B99"/>
      <c r="C99"/>
      <c r="D99"/>
      <c r="E99"/>
      <c r="F99"/>
      <c r="G99"/>
      <c r="H99"/>
      <c r="I99"/>
      <c r="J99"/>
      <c r="K99"/>
      <c r="N99" s="121"/>
      <c r="O99" s="121"/>
      <c r="P99" s="121"/>
      <c r="Q99" s="121"/>
      <c r="R99" s="121"/>
      <c r="S99" s="121"/>
      <c r="T99" s="121"/>
      <c r="U99" s="121"/>
      <c r="V99" s="121"/>
      <c r="W99" s="121"/>
      <c r="X99" s="121"/>
      <c r="Y99" s="121"/>
      <c r="Z99" s="121"/>
      <c r="AA99" s="121"/>
    </row>
    <row r="100" spans="1:27" ht="12.75">
      <c r="A100"/>
      <c r="B100"/>
      <c r="C100"/>
      <c r="D100"/>
      <c r="E100"/>
      <c r="F100"/>
      <c r="G100"/>
      <c r="H100"/>
      <c r="I100"/>
      <c r="J100"/>
      <c r="K100"/>
      <c r="N100" s="121"/>
      <c r="O100" s="121"/>
      <c r="P100" s="121"/>
      <c r="Q100" s="121"/>
      <c r="R100" s="121"/>
      <c r="S100" s="121"/>
      <c r="T100" s="121"/>
      <c r="U100" s="121"/>
      <c r="V100" s="121"/>
      <c r="W100" s="121"/>
      <c r="X100" s="121"/>
      <c r="Y100" s="121"/>
      <c r="Z100" s="121"/>
      <c r="AA100" s="121"/>
    </row>
    <row r="101" spans="1:27" ht="12.75">
      <c r="A101"/>
      <c r="B101"/>
      <c r="C101"/>
      <c r="D101"/>
      <c r="E101"/>
      <c r="F101"/>
      <c r="G101"/>
      <c r="H101"/>
      <c r="I101"/>
      <c r="J101"/>
      <c r="K101"/>
      <c r="N101" s="121"/>
      <c r="O101" s="121"/>
      <c r="P101" s="121"/>
      <c r="Q101" s="121"/>
      <c r="R101" s="121"/>
      <c r="S101" s="121"/>
      <c r="T101" s="121"/>
      <c r="U101" s="121"/>
      <c r="V101" s="121"/>
      <c r="W101" s="121"/>
      <c r="X101" s="121"/>
      <c r="Y101" s="121"/>
      <c r="Z101" s="121"/>
      <c r="AA101" s="121"/>
    </row>
    <row r="102" spans="1:27" ht="12.75">
      <c r="A102"/>
      <c r="B102"/>
      <c r="C102"/>
      <c r="D102"/>
      <c r="E102"/>
      <c r="F102"/>
      <c r="G102"/>
      <c r="H102"/>
      <c r="I102"/>
      <c r="J102"/>
      <c r="K102"/>
      <c r="N102" s="121"/>
      <c r="O102" s="121"/>
      <c r="P102" s="121"/>
      <c r="Q102" s="121"/>
      <c r="R102" s="121"/>
      <c r="S102" s="121"/>
      <c r="T102" s="121"/>
      <c r="U102" s="121"/>
      <c r="V102" s="121"/>
      <c r="W102" s="121"/>
      <c r="X102" s="121"/>
      <c r="Y102" s="121"/>
      <c r="Z102" s="121"/>
      <c r="AA102" s="121"/>
    </row>
    <row r="103" spans="1:27" ht="12.75">
      <c r="A103"/>
      <c r="B103"/>
      <c r="C103"/>
      <c r="D103"/>
      <c r="E103"/>
      <c r="F103"/>
      <c r="G103"/>
      <c r="H103"/>
      <c r="I103"/>
      <c r="J103"/>
      <c r="K103"/>
      <c r="N103" s="121"/>
      <c r="O103" s="121"/>
      <c r="P103" s="121"/>
      <c r="Q103" s="121"/>
      <c r="R103" s="121"/>
      <c r="S103" s="121"/>
      <c r="T103" s="121"/>
      <c r="U103" s="121"/>
      <c r="V103" s="121"/>
      <c r="W103" s="121"/>
      <c r="X103" s="121"/>
      <c r="Y103" s="121"/>
      <c r="Z103" s="121"/>
      <c r="AA103" s="121"/>
    </row>
    <row r="104" spans="1:27" ht="12.75">
      <c r="A104"/>
      <c r="B104"/>
      <c r="C104"/>
      <c r="D104"/>
      <c r="E104"/>
      <c r="F104"/>
      <c r="G104"/>
      <c r="H104"/>
      <c r="I104"/>
      <c r="J104"/>
      <c r="K104"/>
      <c r="N104" s="121"/>
      <c r="O104" s="121"/>
      <c r="P104" s="121"/>
      <c r="Q104" s="121"/>
      <c r="R104" s="121"/>
      <c r="S104" s="121"/>
      <c r="T104" s="121"/>
      <c r="U104" s="121"/>
      <c r="V104" s="121"/>
      <c r="W104" s="121"/>
      <c r="X104" s="121"/>
      <c r="Y104" s="121"/>
      <c r="Z104" s="121"/>
      <c r="AA104" s="121"/>
    </row>
    <row r="105" spans="1:27" ht="12.75">
      <c r="A105"/>
      <c r="B105"/>
      <c r="C105"/>
      <c r="D105"/>
      <c r="E105"/>
      <c r="F105"/>
      <c r="G105"/>
      <c r="H105"/>
      <c r="I105"/>
      <c r="J105"/>
      <c r="K105"/>
      <c r="N105" s="121"/>
      <c r="O105" s="121"/>
      <c r="P105" s="121"/>
      <c r="Q105" s="121"/>
      <c r="R105" s="121"/>
      <c r="S105" s="121"/>
      <c r="T105" s="121"/>
      <c r="U105" s="121"/>
      <c r="V105" s="121"/>
      <c r="W105" s="121"/>
      <c r="X105" s="121"/>
      <c r="Y105" s="121"/>
      <c r="Z105" s="121"/>
      <c r="AA105" s="121"/>
    </row>
    <row r="106" spans="1:27" ht="12.75">
      <c r="A106"/>
      <c r="B106"/>
      <c r="C106"/>
      <c r="D106"/>
      <c r="E106"/>
      <c r="F106"/>
      <c r="G106"/>
      <c r="H106"/>
      <c r="I106"/>
      <c r="J106"/>
      <c r="K106"/>
      <c r="N106" s="121"/>
      <c r="O106" s="121"/>
      <c r="P106" s="121"/>
      <c r="Q106" s="121"/>
      <c r="R106" s="121"/>
      <c r="S106" s="121"/>
      <c r="T106" s="121"/>
      <c r="U106" s="121"/>
      <c r="V106" s="121"/>
      <c r="W106" s="121"/>
      <c r="X106" s="121"/>
      <c r="Y106" s="121"/>
      <c r="Z106" s="121"/>
      <c r="AA106" s="121"/>
    </row>
    <row r="107" spans="1:27" ht="12.75">
      <c r="A107"/>
      <c r="B107"/>
      <c r="C107"/>
      <c r="D107"/>
      <c r="E107"/>
      <c r="F107"/>
      <c r="G107"/>
      <c r="H107"/>
      <c r="I107"/>
      <c r="J107"/>
      <c r="K107"/>
      <c r="N107" s="121"/>
      <c r="O107" s="121"/>
      <c r="P107" s="121"/>
      <c r="Q107" s="121"/>
      <c r="R107" s="121"/>
      <c r="S107" s="121"/>
      <c r="T107" s="121"/>
      <c r="U107" s="121"/>
      <c r="V107" s="121"/>
      <c r="W107" s="121"/>
      <c r="X107" s="121"/>
      <c r="Y107" s="121"/>
      <c r="Z107" s="121"/>
      <c r="AA107" s="121"/>
    </row>
    <row r="108" spans="14:27" ht="12.75">
      <c r="N108" s="121"/>
      <c r="O108" s="121"/>
      <c r="P108" s="121"/>
      <c r="Q108" s="121"/>
      <c r="R108" s="121"/>
      <c r="S108" s="121"/>
      <c r="T108" s="121"/>
      <c r="U108" s="121"/>
      <c r="V108" s="121"/>
      <c r="W108" s="121"/>
      <c r="X108" s="121"/>
      <c r="Y108" s="121"/>
      <c r="Z108" s="121"/>
      <c r="AA108" s="121"/>
    </row>
    <row r="109" spans="14:27" ht="12.75">
      <c r="N109" s="121"/>
      <c r="O109" s="121"/>
      <c r="P109" s="121"/>
      <c r="Q109" s="121"/>
      <c r="R109" s="121"/>
      <c r="S109" s="121"/>
      <c r="T109" s="121"/>
      <c r="U109" s="121"/>
      <c r="V109" s="121"/>
      <c r="W109" s="121"/>
      <c r="X109" s="121"/>
      <c r="Y109" s="121"/>
      <c r="Z109" s="121"/>
      <c r="AA109" s="121"/>
    </row>
    <row r="110" spans="14:27" ht="12.75">
      <c r="N110" s="121"/>
      <c r="O110" s="121"/>
      <c r="P110" s="121"/>
      <c r="Q110" s="121"/>
      <c r="R110" s="121"/>
      <c r="S110" s="121"/>
      <c r="T110" s="121"/>
      <c r="U110" s="121"/>
      <c r="V110" s="121"/>
      <c r="W110" s="121"/>
      <c r="X110" s="121"/>
      <c r="Y110" s="121"/>
      <c r="Z110" s="121"/>
      <c r="AA110" s="121"/>
    </row>
    <row r="111" spans="14:27" ht="12.75">
      <c r="N111" s="121"/>
      <c r="O111" s="121"/>
      <c r="P111" s="121"/>
      <c r="Q111" s="121"/>
      <c r="R111" s="121"/>
      <c r="S111" s="121"/>
      <c r="T111" s="121"/>
      <c r="U111" s="121"/>
      <c r="V111" s="121"/>
      <c r="W111" s="121"/>
      <c r="X111" s="121"/>
      <c r="Y111" s="121"/>
      <c r="Z111" s="121"/>
      <c r="AA111" s="121"/>
    </row>
    <row r="112" spans="14:27" ht="12.75">
      <c r="N112" s="121"/>
      <c r="O112" s="121"/>
      <c r="P112" s="121"/>
      <c r="Q112" s="121"/>
      <c r="R112" s="121"/>
      <c r="S112" s="121"/>
      <c r="T112" s="121"/>
      <c r="U112" s="121"/>
      <c r="V112" s="121"/>
      <c r="W112" s="121"/>
      <c r="X112" s="121"/>
      <c r="Y112" s="121"/>
      <c r="Z112" s="121"/>
      <c r="AA112" s="121"/>
    </row>
    <row r="113" spans="14:27" ht="12.75">
      <c r="N113" s="121"/>
      <c r="O113" s="121"/>
      <c r="P113" s="121"/>
      <c r="Q113" s="121"/>
      <c r="R113" s="121"/>
      <c r="S113" s="121"/>
      <c r="T113" s="121"/>
      <c r="U113" s="121"/>
      <c r="V113" s="121"/>
      <c r="W113" s="121"/>
      <c r="X113" s="121"/>
      <c r="Y113" s="121"/>
      <c r="Z113" s="121"/>
      <c r="AA113" s="121"/>
    </row>
    <row r="114" spans="14:27" ht="12.75">
      <c r="N114" s="121"/>
      <c r="O114" s="121"/>
      <c r="P114" s="121"/>
      <c r="Q114" s="121"/>
      <c r="R114" s="121"/>
      <c r="S114" s="121"/>
      <c r="T114" s="121"/>
      <c r="U114" s="121"/>
      <c r="V114" s="121"/>
      <c r="W114" s="121"/>
      <c r="X114" s="121"/>
      <c r="Y114" s="121"/>
      <c r="Z114" s="121"/>
      <c r="AA114" s="121"/>
    </row>
    <row r="115" spans="14:27" ht="12.75">
      <c r="N115" s="121"/>
      <c r="O115" s="121"/>
      <c r="P115" s="121"/>
      <c r="Q115" s="121"/>
      <c r="R115" s="121"/>
      <c r="S115" s="121"/>
      <c r="T115" s="121"/>
      <c r="U115" s="121"/>
      <c r="V115" s="121"/>
      <c r="W115" s="121"/>
      <c r="X115" s="121"/>
      <c r="Y115" s="121"/>
      <c r="Z115" s="121"/>
      <c r="AA115" s="121"/>
    </row>
    <row r="116" spans="14:27" ht="12.75">
      <c r="N116" s="121"/>
      <c r="O116" s="121"/>
      <c r="P116" s="121"/>
      <c r="Q116" s="121"/>
      <c r="R116" s="121"/>
      <c r="S116" s="121"/>
      <c r="T116" s="121"/>
      <c r="U116" s="121"/>
      <c r="V116" s="121"/>
      <c r="W116" s="121"/>
      <c r="X116" s="121"/>
      <c r="Y116" s="121"/>
      <c r="Z116" s="121"/>
      <c r="AA116" s="121"/>
    </row>
    <row r="117" spans="14:27" ht="12.75">
      <c r="N117" s="121"/>
      <c r="O117" s="121"/>
      <c r="P117" s="121"/>
      <c r="Q117" s="121"/>
      <c r="R117" s="121"/>
      <c r="S117" s="121"/>
      <c r="T117" s="121"/>
      <c r="U117" s="121"/>
      <c r="V117" s="121"/>
      <c r="W117" s="121"/>
      <c r="X117" s="121"/>
      <c r="Y117" s="121"/>
      <c r="Z117" s="121"/>
      <c r="AA117" s="121"/>
    </row>
    <row r="118" spans="14:27" ht="12.75">
      <c r="N118" s="121"/>
      <c r="O118" s="121"/>
      <c r="P118" s="121"/>
      <c r="Q118" s="121"/>
      <c r="R118" s="121"/>
      <c r="S118" s="121"/>
      <c r="T118" s="121"/>
      <c r="U118" s="121"/>
      <c r="V118" s="121"/>
      <c r="W118" s="121"/>
      <c r="X118" s="121"/>
      <c r="Y118" s="121"/>
      <c r="Z118" s="121"/>
      <c r="AA118" s="121"/>
    </row>
    <row r="119" spans="14:27" ht="12.75">
      <c r="N119" s="121"/>
      <c r="O119" s="121"/>
      <c r="P119" s="121"/>
      <c r="Q119" s="121"/>
      <c r="R119" s="121"/>
      <c r="S119" s="121"/>
      <c r="T119" s="121"/>
      <c r="U119" s="121"/>
      <c r="V119" s="121"/>
      <c r="W119" s="121"/>
      <c r="X119" s="121"/>
      <c r="Y119" s="121"/>
      <c r="Z119" s="121"/>
      <c r="AA119" s="121"/>
    </row>
    <row r="120" spans="14:27" ht="12.75">
      <c r="N120" s="121"/>
      <c r="O120" s="121"/>
      <c r="P120" s="121"/>
      <c r="Q120" s="121"/>
      <c r="R120" s="121"/>
      <c r="S120" s="121"/>
      <c r="T120" s="121"/>
      <c r="U120" s="121"/>
      <c r="V120" s="121"/>
      <c r="W120" s="121"/>
      <c r="X120" s="121"/>
      <c r="Y120" s="121"/>
      <c r="Z120" s="121"/>
      <c r="AA120" s="121"/>
    </row>
    <row r="121" spans="14:27" ht="12.75">
      <c r="N121" s="121"/>
      <c r="O121" s="121"/>
      <c r="P121" s="121"/>
      <c r="Q121" s="121"/>
      <c r="R121" s="121"/>
      <c r="S121" s="121"/>
      <c r="T121" s="121"/>
      <c r="U121" s="121"/>
      <c r="V121" s="121"/>
      <c r="W121" s="121"/>
      <c r="X121" s="121"/>
      <c r="Y121" s="121"/>
      <c r="Z121" s="121"/>
      <c r="AA121" s="121"/>
    </row>
    <row r="122" spans="14:27" ht="12.75">
      <c r="N122" s="121"/>
      <c r="O122" s="121"/>
      <c r="P122" s="121"/>
      <c r="Q122" s="121"/>
      <c r="R122" s="121"/>
      <c r="S122" s="121"/>
      <c r="T122" s="121"/>
      <c r="U122" s="121"/>
      <c r="V122" s="121"/>
      <c r="W122" s="121"/>
      <c r="X122" s="121"/>
      <c r="Y122" s="121"/>
      <c r="Z122" s="121"/>
      <c r="AA122" s="121"/>
    </row>
    <row r="123" spans="14:27" ht="12.75">
      <c r="N123" s="121"/>
      <c r="O123" s="121"/>
      <c r="P123" s="121"/>
      <c r="Q123" s="121"/>
      <c r="R123" s="121"/>
      <c r="S123" s="121"/>
      <c r="T123" s="121"/>
      <c r="U123" s="121"/>
      <c r="V123" s="121"/>
      <c r="W123" s="121"/>
      <c r="X123" s="121"/>
      <c r="Y123" s="121"/>
      <c r="Z123" s="121"/>
      <c r="AA123" s="121"/>
    </row>
    <row r="124" spans="14:27" ht="12.75">
      <c r="N124" s="121"/>
      <c r="O124" s="121"/>
      <c r="P124" s="121"/>
      <c r="Q124" s="121"/>
      <c r="R124" s="121"/>
      <c r="S124" s="121"/>
      <c r="T124" s="121"/>
      <c r="U124" s="121"/>
      <c r="V124" s="121"/>
      <c r="W124" s="121"/>
      <c r="X124" s="121"/>
      <c r="Y124" s="121"/>
      <c r="Z124" s="121"/>
      <c r="AA124" s="121"/>
    </row>
    <row r="125" spans="14:27" ht="12.75">
      <c r="N125" s="121"/>
      <c r="O125" s="121"/>
      <c r="P125" s="121"/>
      <c r="Q125" s="121"/>
      <c r="R125" s="121"/>
      <c r="S125" s="121"/>
      <c r="T125" s="121"/>
      <c r="U125" s="121"/>
      <c r="V125" s="121"/>
      <c r="W125" s="121"/>
      <c r="X125" s="121"/>
      <c r="Y125" s="121"/>
      <c r="Z125" s="121"/>
      <c r="AA125" s="121"/>
    </row>
    <row r="126" spans="14:27" ht="12.75">
      <c r="N126" s="121"/>
      <c r="O126" s="121"/>
      <c r="P126" s="121"/>
      <c r="Q126" s="121"/>
      <c r="R126" s="121"/>
      <c r="S126" s="121"/>
      <c r="T126" s="121"/>
      <c r="U126" s="121"/>
      <c r="V126" s="121"/>
      <c r="W126" s="121"/>
      <c r="X126" s="121"/>
      <c r="Y126" s="121"/>
      <c r="Z126" s="121"/>
      <c r="AA126" s="121"/>
    </row>
    <row r="127" spans="14:27" ht="12.75">
      <c r="N127" s="121"/>
      <c r="O127" s="121"/>
      <c r="P127" s="121"/>
      <c r="Q127" s="121"/>
      <c r="R127" s="121"/>
      <c r="S127" s="121"/>
      <c r="T127" s="121"/>
      <c r="U127" s="121"/>
      <c r="V127" s="121"/>
      <c r="W127" s="121"/>
      <c r="X127" s="121"/>
      <c r="Y127" s="121"/>
      <c r="Z127" s="121"/>
      <c r="AA127" s="121"/>
    </row>
    <row r="128" spans="14:27" ht="12.75">
      <c r="N128" s="121"/>
      <c r="O128" s="121"/>
      <c r="P128" s="121"/>
      <c r="Q128" s="121"/>
      <c r="R128" s="121"/>
      <c r="S128" s="121"/>
      <c r="T128" s="121"/>
      <c r="U128" s="121"/>
      <c r="V128" s="121"/>
      <c r="W128" s="121"/>
      <c r="X128" s="121"/>
      <c r="Y128" s="121"/>
      <c r="Z128" s="121"/>
      <c r="AA128" s="121"/>
    </row>
    <row r="129" spans="14:27" ht="12.75">
      <c r="N129" s="121"/>
      <c r="O129" s="121"/>
      <c r="P129" s="121"/>
      <c r="Q129" s="121"/>
      <c r="R129" s="121"/>
      <c r="S129" s="121"/>
      <c r="T129" s="121"/>
      <c r="U129" s="121"/>
      <c r="V129" s="121"/>
      <c r="W129" s="121"/>
      <c r="X129" s="121"/>
      <c r="Y129" s="121"/>
      <c r="Z129" s="121"/>
      <c r="AA129" s="121"/>
    </row>
    <row r="130" spans="14:27" ht="12.75">
      <c r="N130" s="121"/>
      <c r="O130" s="121"/>
      <c r="P130" s="121"/>
      <c r="Q130" s="121"/>
      <c r="R130" s="121"/>
      <c r="S130" s="121"/>
      <c r="T130" s="121"/>
      <c r="U130" s="121"/>
      <c r="V130" s="121"/>
      <c r="W130" s="121"/>
      <c r="X130" s="121"/>
      <c r="Y130" s="121"/>
      <c r="Z130" s="121"/>
      <c r="AA130" s="121"/>
    </row>
    <row r="131" spans="14:27" ht="12.75">
      <c r="N131" s="121"/>
      <c r="O131" s="121"/>
      <c r="P131" s="121"/>
      <c r="Q131" s="121"/>
      <c r="R131" s="121"/>
      <c r="S131" s="121"/>
      <c r="T131" s="121"/>
      <c r="U131" s="121"/>
      <c r="V131" s="121"/>
      <c r="W131" s="121"/>
      <c r="X131" s="121"/>
      <c r="Y131" s="121"/>
      <c r="Z131" s="121"/>
      <c r="AA131" s="121"/>
    </row>
    <row r="132" spans="14:27" ht="12.75">
      <c r="N132" s="121"/>
      <c r="O132" s="121"/>
      <c r="P132" s="121"/>
      <c r="Q132" s="121"/>
      <c r="R132" s="121"/>
      <c r="S132" s="121"/>
      <c r="T132" s="121"/>
      <c r="U132" s="121"/>
      <c r="V132" s="121"/>
      <c r="W132" s="121"/>
      <c r="X132" s="121"/>
      <c r="Y132" s="121"/>
      <c r="Z132" s="121"/>
      <c r="AA132" s="121"/>
    </row>
    <row r="133" spans="14:27" ht="12.75">
      <c r="N133" s="121"/>
      <c r="O133" s="121"/>
      <c r="P133" s="121"/>
      <c r="Q133" s="121"/>
      <c r="R133" s="121"/>
      <c r="S133" s="121"/>
      <c r="T133" s="121"/>
      <c r="U133" s="121"/>
      <c r="V133" s="121"/>
      <c r="W133" s="121"/>
      <c r="X133" s="121"/>
      <c r="Y133" s="121"/>
      <c r="Z133" s="121"/>
      <c r="AA133" s="121"/>
    </row>
    <row r="134" spans="14:27" ht="12.75">
      <c r="N134" s="121"/>
      <c r="O134" s="121"/>
      <c r="P134" s="121"/>
      <c r="Q134" s="121"/>
      <c r="R134" s="121"/>
      <c r="S134" s="121"/>
      <c r="T134" s="121"/>
      <c r="U134" s="121"/>
      <c r="V134" s="121"/>
      <c r="W134" s="121"/>
      <c r="X134" s="121"/>
      <c r="Y134" s="121"/>
      <c r="Z134" s="121"/>
      <c r="AA134" s="121"/>
    </row>
    <row r="135" spans="14:27" ht="12.75">
      <c r="N135" s="121"/>
      <c r="O135" s="121"/>
      <c r="P135" s="121"/>
      <c r="Q135" s="121"/>
      <c r="R135" s="121"/>
      <c r="S135" s="121"/>
      <c r="T135" s="121"/>
      <c r="U135" s="121"/>
      <c r="V135" s="121"/>
      <c r="W135" s="121"/>
      <c r="X135" s="121"/>
      <c r="Y135" s="121"/>
      <c r="Z135" s="121"/>
      <c r="AA135" s="121"/>
    </row>
    <row r="136" spans="14:27" ht="12.75">
      <c r="N136" s="121"/>
      <c r="O136" s="121"/>
      <c r="P136" s="121"/>
      <c r="Q136" s="121"/>
      <c r="R136" s="121"/>
      <c r="S136" s="121"/>
      <c r="T136" s="121"/>
      <c r="U136" s="121"/>
      <c r="V136" s="121"/>
      <c r="W136" s="121"/>
      <c r="X136" s="121"/>
      <c r="Y136" s="121"/>
      <c r="Z136" s="121"/>
      <c r="AA136" s="121"/>
    </row>
    <row r="137" spans="14:27" ht="12.75">
      <c r="N137" s="121"/>
      <c r="O137" s="121"/>
      <c r="P137" s="121"/>
      <c r="Q137" s="121"/>
      <c r="R137" s="121"/>
      <c r="S137" s="121"/>
      <c r="T137" s="121"/>
      <c r="U137" s="121"/>
      <c r="V137" s="121"/>
      <c r="W137" s="121"/>
      <c r="X137" s="121"/>
      <c r="Y137" s="121"/>
      <c r="Z137" s="121"/>
      <c r="AA137" s="121"/>
    </row>
    <row r="138" spans="14:27" ht="12.75">
      <c r="N138" s="121"/>
      <c r="O138" s="121"/>
      <c r="P138" s="121"/>
      <c r="Q138" s="121"/>
      <c r="R138" s="121"/>
      <c r="S138" s="121"/>
      <c r="T138" s="121"/>
      <c r="U138" s="121"/>
      <c r="V138" s="121"/>
      <c r="W138" s="121"/>
      <c r="X138" s="121"/>
      <c r="Y138" s="121"/>
      <c r="Z138" s="121"/>
      <c r="AA138" s="121"/>
    </row>
    <row r="139" spans="14:27" ht="12.75">
      <c r="N139" s="121"/>
      <c r="O139" s="121"/>
      <c r="P139" s="121"/>
      <c r="Q139" s="121"/>
      <c r="R139" s="121"/>
      <c r="S139" s="121"/>
      <c r="T139" s="121"/>
      <c r="U139" s="121"/>
      <c r="V139" s="121"/>
      <c r="W139" s="121"/>
      <c r="X139" s="121"/>
      <c r="Y139" s="121"/>
      <c r="Z139" s="121"/>
      <c r="AA139" s="121"/>
    </row>
    <row r="140" spans="14:27" ht="12.75">
      <c r="N140" s="121"/>
      <c r="O140" s="121"/>
      <c r="P140" s="121"/>
      <c r="Q140" s="121"/>
      <c r="R140" s="121"/>
      <c r="S140" s="121"/>
      <c r="T140" s="121"/>
      <c r="U140" s="121"/>
      <c r="V140" s="121"/>
      <c r="W140" s="121"/>
      <c r="X140" s="121"/>
      <c r="Y140" s="121"/>
      <c r="Z140" s="121"/>
      <c r="AA140" s="121"/>
    </row>
    <row r="141" spans="14:27" ht="12.75">
      <c r="N141" s="121"/>
      <c r="O141" s="121"/>
      <c r="P141" s="121"/>
      <c r="Q141" s="121"/>
      <c r="R141" s="121"/>
      <c r="S141" s="121"/>
      <c r="T141" s="121"/>
      <c r="U141" s="121"/>
      <c r="V141" s="121"/>
      <c r="W141" s="121"/>
      <c r="X141" s="121"/>
      <c r="Y141" s="121"/>
      <c r="Z141" s="121"/>
      <c r="AA141" s="121"/>
    </row>
    <row r="142" spans="14:27" ht="12.75">
      <c r="N142" s="121"/>
      <c r="O142" s="121"/>
      <c r="P142" s="121"/>
      <c r="Q142" s="121"/>
      <c r="R142" s="121"/>
      <c r="S142" s="121"/>
      <c r="T142" s="121"/>
      <c r="U142" s="121"/>
      <c r="V142" s="121"/>
      <c r="W142" s="121"/>
      <c r="X142" s="121"/>
      <c r="Y142" s="121"/>
      <c r="Z142" s="121"/>
      <c r="AA142" s="121"/>
    </row>
    <row r="143" spans="14:27" ht="12.75">
      <c r="N143" s="121"/>
      <c r="O143" s="121"/>
      <c r="P143" s="121"/>
      <c r="Q143" s="121"/>
      <c r="R143" s="121"/>
      <c r="S143" s="121"/>
      <c r="T143" s="121"/>
      <c r="U143" s="121"/>
      <c r="V143" s="121"/>
      <c r="W143" s="121"/>
      <c r="X143" s="121"/>
      <c r="Y143" s="121"/>
      <c r="Z143" s="121"/>
      <c r="AA143" s="121"/>
    </row>
    <row r="144" spans="14:27" ht="12.75">
      <c r="N144" s="121"/>
      <c r="O144" s="121"/>
      <c r="P144" s="121"/>
      <c r="Q144" s="121"/>
      <c r="R144" s="121"/>
      <c r="S144" s="121"/>
      <c r="T144" s="121"/>
      <c r="U144" s="121"/>
      <c r="V144" s="121"/>
      <c r="W144" s="121"/>
      <c r="X144" s="121"/>
      <c r="Y144" s="121"/>
      <c r="Z144" s="121"/>
      <c r="AA144" s="121"/>
    </row>
    <row r="145" spans="14:27" ht="12.75">
      <c r="N145" s="121"/>
      <c r="O145" s="121"/>
      <c r="P145" s="121"/>
      <c r="Q145" s="121"/>
      <c r="R145" s="121"/>
      <c r="S145" s="121"/>
      <c r="T145" s="121"/>
      <c r="U145" s="121"/>
      <c r="V145" s="121"/>
      <c r="W145" s="121"/>
      <c r="X145" s="121"/>
      <c r="Y145" s="121"/>
      <c r="Z145" s="121"/>
      <c r="AA145" s="121"/>
    </row>
    <row r="146" spans="14:27" ht="12.75">
      <c r="N146" s="121"/>
      <c r="O146" s="121"/>
      <c r="P146" s="121"/>
      <c r="Q146" s="121"/>
      <c r="R146" s="121"/>
      <c r="S146" s="121"/>
      <c r="T146" s="121"/>
      <c r="U146" s="121"/>
      <c r="V146" s="121"/>
      <c r="W146" s="121"/>
      <c r="X146" s="121"/>
      <c r="Y146" s="121"/>
      <c r="Z146" s="121"/>
      <c r="AA146" s="121"/>
    </row>
    <row r="147" spans="14:27" ht="12.75">
      <c r="N147" s="121"/>
      <c r="O147" s="121"/>
      <c r="P147" s="121"/>
      <c r="Q147" s="121"/>
      <c r="R147" s="121"/>
      <c r="S147" s="121"/>
      <c r="T147" s="121"/>
      <c r="U147" s="121"/>
      <c r="V147" s="121"/>
      <c r="W147" s="121"/>
      <c r="X147" s="121"/>
      <c r="Y147" s="121"/>
      <c r="Z147" s="121"/>
      <c r="AA147" s="121"/>
    </row>
    <row r="148" spans="14:27" ht="12.75">
      <c r="N148" s="121"/>
      <c r="O148" s="121"/>
      <c r="P148" s="121"/>
      <c r="Q148" s="121"/>
      <c r="R148" s="121"/>
      <c r="S148" s="121"/>
      <c r="T148" s="121"/>
      <c r="U148" s="121"/>
      <c r="V148" s="121"/>
      <c r="W148" s="121"/>
      <c r="X148" s="121"/>
      <c r="Y148" s="121"/>
      <c r="Z148" s="121"/>
      <c r="AA148" s="121"/>
    </row>
    <row r="149" spans="14:27" ht="12.75">
      <c r="N149" s="121"/>
      <c r="O149" s="121"/>
      <c r="P149" s="121"/>
      <c r="Q149" s="121"/>
      <c r="R149" s="121"/>
      <c r="S149" s="121"/>
      <c r="T149" s="121"/>
      <c r="U149" s="121"/>
      <c r="V149" s="121"/>
      <c r="W149" s="121"/>
      <c r="X149" s="121"/>
      <c r="Y149" s="121"/>
      <c r="Z149" s="121"/>
      <c r="AA149" s="121"/>
    </row>
    <row r="150" spans="14:27" ht="12.75">
      <c r="N150" s="121"/>
      <c r="O150" s="121"/>
      <c r="P150" s="121"/>
      <c r="Q150" s="121"/>
      <c r="R150" s="121"/>
      <c r="S150" s="121"/>
      <c r="T150" s="121"/>
      <c r="U150" s="121"/>
      <c r="V150" s="121"/>
      <c r="W150" s="121"/>
      <c r="X150" s="121"/>
      <c r="Y150" s="121"/>
      <c r="Z150" s="121"/>
      <c r="AA150" s="121"/>
    </row>
    <row r="151" spans="14:27" ht="12.75">
      <c r="N151" s="121"/>
      <c r="O151" s="121"/>
      <c r="P151" s="121"/>
      <c r="Q151" s="121"/>
      <c r="R151" s="121"/>
      <c r="S151" s="121"/>
      <c r="T151" s="121"/>
      <c r="U151" s="121"/>
      <c r="V151" s="121"/>
      <c r="W151" s="121"/>
      <c r="X151" s="121"/>
      <c r="Y151" s="121"/>
      <c r="Z151" s="121"/>
      <c r="AA151" s="121"/>
    </row>
    <row r="152" spans="14:27" ht="12.75">
      <c r="N152" s="121"/>
      <c r="O152" s="121"/>
      <c r="P152" s="121"/>
      <c r="Q152" s="121"/>
      <c r="R152" s="121"/>
      <c r="S152" s="121"/>
      <c r="T152" s="121"/>
      <c r="U152" s="121"/>
      <c r="V152" s="121"/>
      <c r="W152" s="121"/>
      <c r="X152" s="121"/>
      <c r="Y152" s="121"/>
      <c r="Z152" s="121"/>
      <c r="AA152" s="121"/>
    </row>
    <row r="153" spans="14:27" ht="12.75">
      <c r="N153" s="121"/>
      <c r="O153" s="121"/>
      <c r="P153" s="121"/>
      <c r="Q153" s="121"/>
      <c r="R153" s="121"/>
      <c r="S153" s="121"/>
      <c r="T153" s="121"/>
      <c r="U153" s="121"/>
      <c r="V153" s="121"/>
      <c r="W153" s="121"/>
      <c r="X153" s="121"/>
      <c r="Y153" s="121"/>
      <c r="Z153" s="121"/>
      <c r="AA153" s="121"/>
    </row>
    <row r="154" spans="14:27" ht="12.75">
      <c r="N154" s="121"/>
      <c r="O154" s="121"/>
      <c r="P154" s="121"/>
      <c r="Q154" s="121"/>
      <c r="R154" s="121"/>
      <c r="S154" s="121"/>
      <c r="T154" s="121"/>
      <c r="U154" s="121"/>
      <c r="V154" s="121"/>
      <c r="W154" s="121"/>
      <c r="X154" s="121"/>
      <c r="Y154" s="121"/>
      <c r="Z154" s="121"/>
      <c r="AA154" s="121"/>
    </row>
    <row r="155" spans="14:27" ht="12.75">
      <c r="N155" s="121"/>
      <c r="O155" s="121"/>
      <c r="P155" s="121"/>
      <c r="Q155" s="121"/>
      <c r="R155" s="121"/>
      <c r="S155" s="121"/>
      <c r="T155" s="121"/>
      <c r="U155" s="121"/>
      <c r="V155" s="121"/>
      <c r="W155" s="121"/>
      <c r="X155" s="121"/>
      <c r="Y155" s="121"/>
      <c r="Z155" s="121"/>
      <c r="AA155" s="121"/>
    </row>
    <row r="156" spans="14:27" ht="12.75">
      <c r="N156" s="121"/>
      <c r="O156" s="121"/>
      <c r="P156" s="121"/>
      <c r="Q156" s="121"/>
      <c r="R156" s="121"/>
      <c r="S156" s="121"/>
      <c r="T156" s="121"/>
      <c r="U156" s="121"/>
      <c r="V156" s="121"/>
      <c r="W156" s="121"/>
      <c r="X156" s="121"/>
      <c r="Y156" s="121"/>
      <c r="Z156" s="121"/>
      <c r="AA156" s="121"/>
    </row>
    <row r="157" spans="14:27" ht="12.75">
      <c r="N157" s="121"/>
      <c r="O157" s="121"/>
      <c r="P157" s="121"/>
      <c r="Q157" s="121"/>
      <c r="R157" s="121"/>
      <c r="S157" s="121"/>
      <c r="T157" s="121"/>
      <c r="U157" s="121"/>
      <c r="V157" s="121"/>
      <c r="W157" s="121"/>
      <c r="X157" s="121"/>
      <c r="Y157" s="121"/>
      <c r="Z157" s="121"/>
      <c r="AA157" s="121"/>
    </row>
    <row r="158" spans="14:27" ht="12.75">
      <c r="N158" s="121"/>
      <c r="O158" s="121"/>
      <c r="P158" s="121"/>
      <c r="Q158" s="121"/>
      <c r="R158" s="121"/>
      <c r="S158" s="121"/>
      <c r="T158" s="121"/>
      <c r="U158" s="121"/>
      <c r="V158" s="121"/>
      <c r="W158" s="121"/>
      <c r="X158" s="121"/>
      <c r="Y158" s="121"/>
      <c r="Z158" s="121"/>
      <c r="AA158" s="121"/>
    </row>
    <row r="159" spans="14:27" ht="12.75">
      <c r="N159" s="121"/>
      <c r="O159" s="121"/>
      <c r="P159" s="121"/>
      <c r="Q159" s="121"/>
      <c r="R159" s="121"/>
      <c r="S159" s="121"/>
      <c r="T159" s="121"/>
      <c r="U159" s="121"/>
      <c r="V159" s="121"/>
      <c r="W159" s="121"/>
      <c r="X159" s="121"/>
      <c r="Y159" s="121"/>
      <c r="Z159" s="121"/>
      <c r="AA159" s="121"/>
    </row>
    <row r="160" spans="14:27" ht="12.75">
      <c r="N160" s="121"/>
      <c r="O160" s="121"/>
      <c r="P160" s="121"/>
      <c r="Q160" s="121"/>
      <c r="R160" s="121"/>
      <c r="S160" s="121"/>
      <c r="T160" s="121"/>
      <c r="U160" s="121"/>
      <c r="V160" s="121"/>
      <c r="W160" s="121"/>
      <c r="X160" s="121"/>
      <c r="Y160" s="121"/>
      <c r="Z160" s="121"/>
      <c r="AA160" s="121"/>
    </row>
    <row r="161" spans="14:27" ht="12.75">
      <c r="N161" s="121"/>
      <c r="O161" s="121"/>
      <c r="P161" s="121"/>
      <c r="Q161" s="121"/>
      <c r="R161" s="121"/>
      <c r="S161" s="121"/>
      <c r="T161" s="121"/>
      <c r="U161" s="121"/>
      <c r="V161" s="121"/>
      <c r="W161" s="121"/>
      <c r="X161" s="121"/>
      <c r="Y161" s="121"/>
      <c r="Z161" s="121"/>
      <c r="AA161" s="121"/>
    </row>
    <row r="162" spans="14:27" ht="12.75">
      <c r="N162" s="121"/>
      <c r="O162" s="121"/>
      <c r="P162" s="121"/>
      <c r="Q162" s="121"/>
      <c r="R162" s="121"/>
      <c r="S162" s="121"/>
      <c r="T162" s="121"/>
      <c r="U162" s="121"/>
      <c r="V162" s="121"/>
      <c r="W162" s="121"/>
      <c r="X162" s="121"/>
      <c r="Y162" s="121"/>
      <c r="Z162" s="121"/>
      <c r="AA162" s="121"/>
    </row>
    <row r="163" spans="14:27" ht="12.75">
      <c r="N163" s="121"/>
      <c r="O163" s="121"/>
      <c r="P163" s="121"/>
      <c r="Q163" s="121"/>
      <c r="R163" s="121"/>
      <c r="S163" s="121"/>
      <c r="T163" s="121"/>
      <c r="U163" s="121"/>
      <c r="V163" s="121"/>
      <c r="W163" s="121"/>
      <c r="X163" s="121"/>
      <c r="Y163" s="121"/>
      <c r="Z163" s="121"/>
      <c r="AA163" s="121"/>
    </row>
  </sheetData>
  <printOptions horizontalCentered="1"/>
  <pageMargins left="1.44" right="1" top="1" bottom="1" header="0.5" footer="0.5"/>
  <pageSetup blackAndWhite="1" horizontalDpi="240" verticalDpi="240" orientation="portrait" scale="65" r:id="rId2"/>
  <headerFooter alignWithMargins="0">
    <oddHeader>&amp;L&amp;A</oddHeader>
    <oddFooter>&amp;R&amp;D,  &amp;T</oddFooter>
  </headerFooter>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X31"/>
  <sheetViews>
    <sheetView zoomScale="75" zoomScaleNormal="75" workbookViewId="0" topLeftCell="A1">
      <selection activeCell="B23" sqref="B23"/>
    </sheetView>
  </sheetViews>
  <sheetFormatPr defaultColWidth="9.140625" defaultRowHeight="12.75"/>
  <cols>
    <col min="1" max="1" width="30.28125" style="118" customWidth="1"/>
    <col min="2" max="7" width="10.57421875" style="111" customWidth="1"/>
    <col min="8" max="8" width="3.28125" style="111" customWidth="1"/>
    <col min="9" max="14" width="9.140625" style="111" customWidth="1"/>
    <col min="15" max="15" width="10.140625" style="111" customWidth="1"/>
    <col min="16" max="16" width="9.57421875" style="111" customWidth="1"/>
    <col min="17" max="17" width="9.00390625" style="111" customWidth="1"/>
    <col min="18" max="18" width="8.140625" style="111" customWidth="1"/>
    <col min="19" max="16384" width="9.140625" style="111" customWidth="1"/>
  </cols>
  <sheetData>
    <row r="1" spans="1:11" ht="12.75">
      <c r="A1" s="293" t="s">
        <v>6</v>
      </c>
      <c r="B1" s="297">
        <f>TEXT(ProjectDescription,"")</f>
      </c>
      <c r="C1" s="105"/>
      <c r="D1" s="105"/>
      <c r="E1" s="105"/>
      <c r="F1" s="106" t="s">
        <v>86</v>
      </c>
      <c r="G1" s="218">
        <f>NINI</f>
        <v>7</v>
      </c>
      <c r="H1" s="109"/>
      <c r="I1" s="109"/>
      <c r="J1"/>
      <c r="K1"/>
    </row>
    <row r="2" spans="1:11" ht="12.75">
      <c r="A2" s="294" t="s">
        <v>5</v>
      </c>
      <c r="B2" s="298" t="str">
        <f>WorkbookName</f>
        <v>Pine-Prj.xlt</v>
      </c>
      <c r="C2" s="82"/>
      <c r="D2" s="82"/>
      <c r="E2" s="82"/>
      <c r="F2" s="60" t="s">
        <v>87</v>
      </c>
      <c r="G2" s="219">
        <f>NDES</f>
        <v>75</v>
      </c>
      <c r="H2" s="109"/>
      <c r="I2" s="109"/>
      <c r="J2"/>
      <c r="K2"/>
    </row>
    <row r="3" spans="1:11" ht="12.75">
      <c r="A3" s="295" t="s">
        <v>7</v>
      </c>
      <c r="B3" s="299">
        <f>TEXT(Technician,"")</f>
      </c>
      <c r="C3" s="82"/>
      <c r="D3" s="82"/>
      <c r="E3" s="82"/>
      <c r="F3" s="60" t="s">
        <v>88</v>
      </c>
      <c r="G3" s="219">
        <f>NMAX</f>
        <v>115</v>
      </c>
      <c r="H3" s="109"/>
      <c r="I3" s="109"/>
      <c r="J3"/>
      <c r="K3"/>
    </row>
    <row r="4" spans="1:11" ht="12.75">
      <c r="A4" s="295" t="s">
        <v>8</v>
      </c>
      <c r="B4" s="300">
        <f>IF(ISBLANK(ProjectDate),"",TEXT(ProjectDate,"m/d/y"))</f>
      </c>
      <c r="C4" s="82"/>
      <c r="D4" s="82"/>
      <c r="E4" s="82"/>
      <c r="F4" s="391" t="s">
        <v>16</v>
      </c>
      <c r="G4" s="392" t="str">
        <f>Sieve&amp;"mm"</f>
        <v>19mm</v>
      </c>
      <c r="H4" s="109"/>
      <c r="I4" s="109"/>
      <c r="J4"/>
      <c r="K4"/>
    </row>
    <row r="5" spans="1:11" ht="12.75">
      <c r="A5" s="295" t="s">
        <v>9</v>
      </c>
      <c r="B5" s="301">
        <f>TEXT(Grade,"")</f>
      </c>
      <c r="C5" s="82"/>
      <c r="D5" s="82"/>
      <c r="E5" s="82"/>
      <c r="F5" s="60" t="s">
        <v>17</v>
      </c>
      <c r="G5" s="237" t="str">
        <f>TEXT(Temperature,"##")&amp;"°C"</f>
        <v>°C</v>
      </c>
      <c r="H5" s="109"/>
      <c r="I5" s="109"/>
      <c r="J5"/>
      <c r="K5"/>
    </row>
    <row r="6" spans="1:10" ht="13.5" thickBot="1">
      <c r="A6" s="296" t="s">
        <v>11</v>
      </c>
      <c r="B6" s="302" t="str">
        <f>TEXT(CompacTemp,"###")&amp;"°C"</f>
        <v>°C</v>
      </c>
      <c r="C6" s="108"/>
      <c r="D6" s="108"/>
      <c r="E6" s="108"/>
      <c r="F6" s="120" t="s">
        <v>10</v>
      </c>
      <c r="G6" s="220" t="str">
        <f>TEXT(ESALS,"##.#")</f>
        <v>.3</v>
      </c>
      <c r="H6" s="109"/>
      <c r="I6" s="109"/>
      <c r="J6" s="104"/>
    </row>
    <row r="7" spans="1:10" ht="12.75">
      <c r="A7" s="206"/>
      <c r="B7" s="104"/>
      <c r="C7" s="104"/>
      <c r="D7" s="104"/>
      <c r="E7" s="104"/>
      <c r="F7" s="104"/>
      <c r="G7" s="104"/>
      <c r="H7" s="104"/>
      <c r="I7" s="104"/>
      <c r="J7" s="104"/>
    </row>
    <row r="8" ht="13.5" thickBot="1">
      <c r="A8" s="206"/>
    </row>
    <row r="9" spans="1:24" s="112" customFormat="1" ht="39" thickBot="1">
      <c r="A9" s="292" t="s">
        <v>89</v>
      </c>
      <c r="B9" s="55" t="s">
        <v>90</v>
      </c>
      <c r="C9" s="56" t="str">
        <f>"%Gmm @ N = "&amp;ROUND(NINI,0)&amp;"   (corrected)"</f>
        <v>%Gmm @ N = 7   (corrected)</v>
      </c>
      <c r="D9" s="56" t="str">
        <f>"%Gmm @ N = "&amp;NDES&amp;"   (corrected)"</f>
        <v>%Gmm @ N = 75   (corrected)</v>
      </c>
      <c r="E9" s="56" t="str">
        <f>"%Gmm @ N = "&amp;ROUND(NMAX,0)&amp;"   (corrected)"</f>
        <v>%Gmm @ N = 115   (corrected)</v>
      </c>
      <c r="F9" s="56" t="s">
        <v>91</v>
      </c>
      <c r="G9" s="56" t="s">
        <v>92</v>
      </c>
      <c r="H9" s="169"/>
      <c r="N9" s="113"/>
      <c r="O9" s="113"/>
      <c r="P9" s="113"/>
      <c r="Q9" s="113"/>
      <c r="R9" s="113"/>
      <c r="S9" s="113"/>
      <c r="T9" s="113"/>
      <c r="U9" s="113"/>
      <c r="V9" s="113"/>
      <c r="W9" s="113"/>
      <c r="X9" s="113"/>
    </row>
    <row r="10" spans="1:24" s="114" customFormat="1" ht="15">
      <c r="A10" s="129" t="str">
        <f>IF(BlendID1="","Blend 1",BlendID1)</f>
        <v>Blend 1</v>
      </c>
      <c r="B10" s="61">
        <f>IF(ISBLANK(Pbi1),"",Pbi1)</f>
      </c>
      <c r="C10" s="62">
        <f>IF(ISERROR(AvgGmmIni1),"",AvgGmmIni1)</f>
      </c>
      <c r="D10" s="62">
        <f>IF(ISERROR(AvgGmmDes1),"",AvgGmmDes1)</f>
      </c>
      <c r="E10" s="62">
        <f>IF(ISERROR(AvgGmmMax1),"",AvgGmmMax1)</f>
      </c>
      <c r="F10" s="62">
        <f>IF(ISERROR(AirVoids1),"",AirVoids1)</f>
      </c>
      <c r="G10" s="63">
        <f>IF(ISERROR(VMA1),"",VMA1)</f>
      </c>
      <c r="H10" s="169"/>
      <c r="N10" s="115"/>
      <c r="O10" s="115"/>
      <c r="P10" s="115"/>
      <c r="Q10" s="115"/>
      <c r="R10" s="115"/>
      <c r="S10" s="115"/>
      <c r="T10" s="115"/>
      <c r="U10" s="115"/>
      <c r="V10" s="115"/>
      <c r="W10" s="115"/>
      <c r="X10" s="115"/>
    </row>
    <row r="11" spans="1:24" s="114" customFormat="1" ht="15">
      <c r="A11" s="290" t="str">
        <f>IF(BlendID2="","Blend 2",BlendID2)</f>
        <v>Blend 2</v>
      </c>
      <c r="B11" s="64">
        <f>IF(ISBLANK(Pbi2),"",Pbi2)</f>
      </c>
      <c r="C11" s="65">
        <f>IF(ISERROR(AvgGmmIni2),"",AvgGmmIni2)</f>
      </c>
      <c r="D11" s="65">
        <f>IF(ISERROR(AvgGmmDes2),"",AvgGmmDes2)</f>
      </c>
      <c r="E11" s="65">
        <f>IF(ISERROR(AvgGmmMax2),"",AvgGmmMax2)</f>
      </c>
      <c r="F11" s="65">
        <f>IF(ISERROR(AirVoids2),"",AirVoids2)</f>
      </c>
      <c r="G11" s="66">
        <f>IF(ISERROR(VMA2),"",VMA2)</f>
      </c>
      <c r="H11" s="169"/>
      <c r="I11" s="116"/>
      <c r="N11" s="115"/>
      <c r="O11" s="117"/>
      <c r="P11" s="117"/>
      <c r="Q11" s="117"/>
      <c r="R11" s="117"/>
      <c r="S11" s="115"/>
      <c r="T11" s="115"/>
      <c r="U11" s="115"/>
      <c r="V11" s="115"/>
      <c r="W11" s="115"/>
      <c r="X11" s="115"/>
    </row>
    <row r="12" spans="1:24" s="114" customFormat="1" ht="15">
      <c r="A12" s="290" t="str">
        <f>IF(BlendID3="","Blend 3",BlendID3)</f>
        <v>Blend 3</v>
      </c>
      <c r="B12" s="64">
        <f>IF(ISBLANK(Pbi3),"",Pbi3)</f>
      </c>
      <c r="C12" s="65">
        <f>IF(ISERROR(AvgGmmIni3),"",AvgGmmIni3)</f>
      </c>
      <c r="D12" s="65">
        <f>IF(ISERROR(AvgGmmDes3),"",AvgGmmDes3)</f>
      </c>
      <c r="E12" s="65">
        <f>IF(ISERROR(AvgGmmMax3),"",AvgGmmMax3)</f>
      </c>
      <c r="F12" s="65">
        <f>IF(ISERROR(AirVoids3),"",AirVoids3)</f>
      </c>
      <c r="G12" s="66">
        <f>IF(ISERROR(VMA3),"",VMA3)</f>
      </c>
      <c r="H12" s="169"/>
      <c r="N12" s="115"/>
      <c r="O12" s="117"/>
      <c r="P12" s="117"/>
      <c r="Q12" s="117"/>
      <c r="R12" s="117"/>
      <c r="S12" s="115"/>
      <c r="T12" s="115"/>
      <c r="U12" s="115"/>
      <c r="V12" s="115"/>
      <c r="W12" s="115"/>
      <c r="X12" s="115"/>
    </row>
    <row r="13" spans="1:24" ht="15" thickBot="1">
      <c r="A13" s="291" t="str">
        <f>IF(BlendID4="","Blend 4",BlendID4)</f>
        <v>Blend 4</v>
      </c>
      <c r="B13" s="67">
        <f>IF(ISBLANK(Pbi4),"",Pbi4)</f>
      </c>
      <c r="C13" s="68">
        <f>IF(ISERROR(AvgGmmIni4),"",AvgGmmIni4)</f>
      </c>
      <c r="D13" s="68">
        <f>IF(ISERROR(AvgGmmDes4),"",AvgGmmDes4)</f>
      </c>
      <c r="E13" s="68">
        <f>IF(ISERROR(AvgGmmMax4),"",AvgGmmMax4)</f>
      </c>
      <c r="F13" s="68">
        <f>IF(ISERROR(AirVoids4),"",AirVoids4)</f>
      </c>
      <c r="G13" s="69">
        <f>IF(ISERROR(VMA4),"",VMA4)</f>
      </c>
      <c r="N13" s="104"/>
      <c r="O13" s="117"/>
      <c r="P13" s="117"/>
      <c r="Q13" s="117"/>
      <c r="R13" s="117"/>
      <c r="S13" s="104"/>
      <c r="T13" s="104"/>
      <c r="U13" s="104"/>
      <c r="V13" s="104"/>
      <c r="W13" s="104"/>
      <c r="X13" s="104"/>
    </row>
    <row r="14" spans="14:24" ht="12.75">
      <c r="N14" s="104"/>
      <c r="O14" s="117"/>
      <c r="P14" s="117"/>
      <c r="Q14" s="117"/>
      <c r="R14" s="117"/>
      <c r="S14" s="104"/>
      <c r="T14" s="104"/>
      <c r="U14" s="104"/>
      <c r="V14" s="104"/>
      <c r="W14" s="104"/>
      <c r="X14" s="104"/>
    </row>
    <row r="15" spans="14:24" ht="13.5" thickBot="1">
      <c r="N15" s="109"/>
      <c r="O15" s="104"/>
      <c r="P15" s="104"/>
      <c r="Q15" s="104"/>
      <c r="R15" s="104"/>
      <c r="S15" s="104"/>
      <c r="T15" s="104"/>
      <c r="U15" s="104"/>
      <c r="V15" s="104"/>
      <c r="W15" s="104"/>
      <c r="X15" s="104"/>
    </row>
    <row r="16" spans="1:24" ht="57" customHeight="1" thickBot="1">
      <c r="A16" s="292" t="s">
        <v>89</v>
      </c>
      <c r="B16" s="56" t="s">
        <v>93</v>
      </c>
      <c r="C16" s="56" t="str">
        <f>"Estimated %Gmm @ N = "&amp;ROUND(NINI,0)&amp;" ("&amp;NiniLim&amp;"% Max)"</f>
        <v>Estimated %Gmm @ N = 7 (90.5% Max)</v>
      </c>
      <c r="D16" s="56" t="str">
        <f>"Estimated %Gmm @ N = "&amp;ROUND(NDES,0)&amp;" ("&amp;NdesLim&amp;"% Max)"</f>
        <v>Estimated %Gmm @ N = 75 (96% Max)</v>
      </c>
      <c r="E16" s="56" t="str">
        <f>"Estimated %Gmm @ N = "&amp;ROUND(NMAX,0)&amp;" ("&amp;NmaxLim&amp;"% Max)"</f>
        <v>Estimated %Gmm @ N = 115 (98% Max)</v>
      </c>
      <c r="F16" s="56" t="str">
        <f>"Estimated %VMA  @ NDesign ("&amp;VLOOKUP(Sieve,Specs!C31:D36,2)&amp;" % Min)"</f>
        <v>Estimated %VMA  @ NDesign (13 % Min)</v>
      </c>
      <c r="G16" s="56" t="str">
        <f>"Estimated %VFA @ NDesign ("&amp;VFAMin&amp;"% - "&amp;VFAMax&amp;"%)"</f>
        <v>Estimated %VFA @ NDesign (65% - 78%)</v>
      </c>
      <c r="N16" s="109"/>
      <c r="O16" s="104"/>
      <c r="P16" s="104"/>
      <c r="Q16" s="104"/>
      <c r="R16" s="104"/>
      <c r="S16" s="104"/>
      <c r="T16" s="104"/>
      <c r="U16" s="104"/>
      <c r="V16" s="104"/>
      <c r="W16" s="104"/>
      <c r="X16" s="104"/>
    </row>
    <row r="17" spans="1:24" ht="14.25">
      <c r="A17" s="129" t="str">
        <f>IF(BlendID1="","Blend 1",BlendID1)</f>
        <v>Blend 1</v>
      </c>
      <c r="B17" s="61">
        <f>IF(ISERROR(PbEst1),"",PbEst1)</f>
      </c>
      <c r="C17" s="62">
        <f>IF(ISERROR(GmmIni1),"",GmmIni1)</f>
      </c>
      <c r="D17" s="62">
        <f>IF(ISERROR(AirVoids1),"",AvgGmmDes1-(4-AirVoids1))</f>
      </c>
      <c r="E17" s="62">
        <f>IF(ISERROR(GmmMax1),"",GmmMax1)</f>
      </c>
      <c r="F17" s="62">
        <f>IF(ISERROR(EstVMA1),"",EstVMA1)</f>
      </c>
      <c r="G17" s="63">
        <f>IF(ISERROR(EstVFA1),"",EstVFA1)</f>
      </c>
      <c r="N17" s="117"/>
      <c r="O17" s="104"/>
      <c r="P17" s="104"/>
      <c r="Q17" s="104"/>
      <c r="R17" s="104"/>
      <c r="S17" s="104"/>
      <c r="T17" s="104"/>
      <c r="U17" s="104"/>
      <c r="V17" s="104"/>
      <c r="W17" s="104"/>
      <c r="X17" s="104"/>
    </row>
    <row r="18" spans="1:15" ht="14.25">
      <c r="A18" s="290" t="str">
        <f>IF(BlendID2="","Blend 2",BlendID2)</f>
        <v>Blend 2</v>
      </c>
      <c r="B18" s="64">
        <f>IF(ISERROR(PbEst2),"",PbEst2)</f>
      </c>
      <c r="C18" s="65">
        <f>IF(ISERROR(GmmIni2),"",GmmIni2)</f>
      </c>
      <c r="D18" s="65">
        <f>IF(ISERROR(AirVoids2),"",AvgGmmDes2-(4-AirVoids2))</f>
      </c>
      <c r="E18" s="65">
        <f>IF(ISERROR(GmmMax2),"",GmmMax2)</f>
      </c>
      <c r="F18" s="65">
        <f>IF(ISERROR(EstVMA2),"",EstVMA2)</f>
      </c>
      <c r="G18" s="66">
        <f>IF(ISERROR(EstVFA2),"",EstVFA2)</f>
      </c>
      <c r="N18" s="83"/>
      <c r="O18" s="83"/>
    </row>
    <row r="19" spans="1:15" ht="14.25">
      <c r="A19" s="290" t="str">
        <f>IF(BlendID3="","Blend 3",BlendID3)</f>
        <v>Blend 3</v>
      </c>
      <c r="B19" s="64">
        <f>IF(ISERROR(PbEst3),"",PbEst3)</f>
      </c>
      <c r="C19" s="65">
        <f>IF(ISERROR(GmmIni3),"",GmmIni3)</f>
      </c>
      <c r="D19" s="65">
        <f>IF(ISERROR(AirVoids3),"",AvgGmmDes3-(4-AirVoids3))</f>
      </c>
      <c r="E19" s="65">
        <f>IF(ISERROR(GmmMax3),"",GmmMax3)</f>
      </c>
      <c r="F19" s="65">
        <f>IF(ISERROR(EstVMA3),"",EstVMA3)</f>
      </c>
      <c r="G19" s="66">
        <f>IF(ISERROR(EstVFA3),"",EstVFA3)</f>
      </c>
      <c r="N19" s="83"/>
      <c r="O19" s="83"/>
    </row>
    <row r="20" spans="1:15" ht="15" thickBot="1">
      <c r="A20" s="291" t="str">
        <f>IF(BlendID4="","Blend 4",BlendID4)</f>
        <v>Blend 4</v>
      </c>
      <c r="B20" s="67">
        <f>IF(ISERROR(PbEst4),"",PbEst4)</f>
      </c>
      <c r="C20" s="68">
        <f>IF(ISERROR(GmmIni4),"",GmmIni4)</f>
      </c>
      <c r="D20" s="68">
        <f>IF(ISERROR(AirVoids4),"",AvgGmmDes4-(4-AirVoids4))</f>
      </c>
      <c r="E20" s="68">
        <f>IF(ISERROR(GmmMax4),"",GmmMax4)</f>
      </c>
      <c r="F20" s="68">
        <f>IF(ISERROR(EstVMA4),"",EstVMA4)</f>
      </c>
      <c r="G20" s="69">
        <f>IF(ISERROR(EstVFA4),"",EstVFA4)</f>
      </c>
      <c r="N20" s="83"/>
      <c r="O20" s="83"/>
    </row>
    <row r="21" spans="14:15" ht="12.75">
      <c r="N21" s="83"/>
      <c r="O21" s="83"/>
    </row>
    <row r="22" ht="13.5" thickBot="1"/>
    <row r="23" spans="2:5" ht="15" thickBot="1">
      <c r="B23" s="77" t="str">
        <f>IF(BlendID1="","Blend 1",BlendID1)</f>
        <v>Blend 1</v>
      </c>
      <c r="C23" s="77" t="str">
        <f>IF(BlendID2="","Blend 2",BlendID2)</f>
        <v>Blend 2</v>
      </c>
      <c r="D23" s="77" t="str">
        <f>IF(BlendID3="","Blend 3",BlendID3)</f>
        <v>Blend 3</v>
      </c>
      <c r="E23" s="77" t="str">
        <f>IF(BlendID4="","Blend 4",BlendID4)</f>
        <v>Blend 4</v>
      </c>
    </row>
    <row r="24" spans="1:5" ht="12.75">
      <c r="A24" s="287" t="s">
        <v>94</v>
      </c>
      <c r="B24" s="347">
        <f>IF(ISBLANK(Gsb1),"",Gsb1)</f>
      </c>
      <c r="C24" s="348">
        <f>IF(ISBLANK(Gsb2),"",Gsb2)</f>
      </c>
      <c r="D24" s="348">
        <f>IF(ISBLANK(Gsb3),"",Gsb3)</f>
      </c>
      <c r="E24" s="349">
        <f>IF(ISBLANK(Gsb4),"",Gsb4)</f>
      </c>
    </row>
    <row r="25" spans="1:9" ht="12.75">
      <c r="A25" s="288" t="s">
        <v>61</v>
      </c>
      <c r="B25" s="64">
        <f>IF(ISBLANK(Pbi1),"",Pbi1)</f>
      </c>
      <c r="C25" s="65">
        <f>IF(ISBLANK(Pbi2),"",Pbi2)</f>
      </c>
      <c r="D25" s="65">
        <f>IF(ISBLANK(Pbi3),"",Pbi3)</f>
      </c>
      <c r="E25" s="66">
        <f>IF(ISBLANK(Pbi4),"",Pbi4)</f>
      </c>
      <c r="F25" s="104"/>
      <c r="G25" s="104"/>
      <c r="H25" s="104"/>
      <c r="I25" s="104"/>
    </row>
    <row r="26" spans="1:9" ht="12.75">
      <c r="A26" s="288" t="s">
        <v>62</v>
      </c>
      <c r="B26" s="64">
        <f>Ps1</f>
      </c>
      <c r="C26" s="65">
        <f>Ps2</f>
      </c>
      <c r="D26" s="65">
        <f>Ps3</f>
      </c>
      <c r="E26" s="66">
        <f>Ps4</f>
      </c>
      <c r="F26" s="104"/>
      <c r="G26" s="104"/>
      <c r="H26" s="104"/>
      <c r="I26" s="117"/>
    </row>
    <row r="27" spans="1:9" ht="12.75">
      <c r="A27" s="288" t="s">
        <v>95</v>
      </c>
      <c r="B27" s="350">
        <f>IF(ISBLANK('Dust Proportion'!G_b1),"",'Dust Proportion'!G_b1)</f>
      </c>
      <c r="C27" s="351">
        <f>IF(ISBLANK('Dust Proportion'!G_b2),"",'Dust Proportion'!G_b2)</f>
      </c>
      <c r="D27" s="351">
        <f>IF(ISBLANK('Dust Proportion'!G_b3),"",'Dust Proportion'!G_b3)</f>
      </c>
      <c r="E27" s="352">
        <f>IF(ISBLANK('Dust Proportion'!G_b4),"",'Dust Proportion'!G_b4)</f>
      </c>
      <c r="F27" s="104"/>
      <c r="G27" s="104"/>
      <c r="H27" s="104"/>
      <c r="I27" s="104"/>
    </row>
    <row r="28" spans="1:9" ht="12.75">
      <c r="A28" s="288" t="s">
        <v>96</v>
      </c>
      <c r="B28" s="64">
        <f>IF(ISBLANK(Fines1),"",Fines1)</f>
      </c>
      <c r="C28" s="65">
        <f>IF(ISBLANK(Fines2),"",Fines2)</f>
      </c>
      <c r="D28" s="65">
        <f>IF(ISBLANK(Fines3),"",Fines3)</f>
      </c>
      <c r="E28" s="66">
        <f>IF(ISBLANK(Fines4),"",Fines4)</f>
      </c>
      <c r="F28" s="104"/>
      <c r="G28" s="104"/>
      <c r="H28" s="104"/>
      <c r="I28" s="104"/>
    </row>
    <row r="29" spans="1:9" ht="12.75">
      <c r="A29" s="288" t="s">
        <v>97</v>
      </c>
      <c r="B29" s="350">
        <f>IF(ISNA('Dust Proportion'!Gse1),"",'Dust Proportion'!Gse1)</f>
      </c>
      <c r="C29" s="351">
        <f>IF(ISNA('Dust Proportion'!Gse2),"",'Dust Proportion'!Gse2)</f>
      </c>
      <c r="D29" s="351">
        <f>IF(ISNA('Dust Proportion'!Gse3),"",'Dust Proportion'!Gse3)</f>
      </c>
      <c r="E29" s="352">
        <f>IF(ISNA('Dust Proportion'!Gse4),"",'Dust Proportion'!Gse4)</f>
      </c>
      <c r="F29" s="104"/>
      <c r="G29" s="104"/>
      <c r="H29" s="104"/>
      <c r="I29" s="104"/>
    </row>
    <row r="30" spans="1:6" ht="12.75">
      <c r="A30" s="288" t="s">
        <v>98</v>
      </c>
      <c r="B30" s="64">
        <f>IF(ISNA(Pbe1),"",Pbe1)</f>
      </c>
      <c r="C30" s="65">
        <f>IF(ISNA(Pbe2),"",Pbe2)</f>
      </c>
      <c r="D30" s="65">
        <f>IF(ISNA(Pbe3),"",Pbe3)</f>
      </c>
      <c r="E30" s="66">
        <f>IF(ISNA(Pbe4),"",Pbe4)</f>
      </c>
      <c r="F30" s="117"/>
    </row>
    <row r="31" spans="1:6" ht="13.5" thickBot="1">
      <c r="A31" s="289" t="s">
        <v>99</v>
      </c>
      <c r="B31" s="67">
        <f>Dust1</f>
      </c>
      <c r="C31" s="68">
        <f>Dust2</f>
      </c>
      <c r="D31" s="68">
        <f>Dust3</f>
      </c>
      <c r="E31" s="69">
        <f>Dust4</f>
      </c>
      <c r="F31" s="117"/>
    </row>
  </sheetData>
  <sheetProtection sheet="1" objects="1" scenarios="1"/>
  <printOptions horizontalCentered="1"/>
  <pageMargins left="0.25" right="0.25" top="1" bottom="1" header="0.5" footer="0.5"/>
  <pageSetup blackAndWhite="1" fitToHeight="1" fitToWidth="1" horizontalDpi="240" verticalDpi="240" orientation="portrait" r:id="rId1"/>
  <headerFooter alignWithMargins="0">
    <oddHeader>&amp;L&amp;A</oddHeader>
    <oddFooter>&amp;R&amp;D, &amp;T</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L510"/>
  <sheetViews>
    <sheetView showGridLines="0" showRowColHeaders="0" workbookViewId="0" topLeftCell="A1">
      <selection activeCell="B4" sqref="B4"/>
    </sheetView>
  </sheetViews>
  <sheetFormatPr defaultColWidth="9.140625" defaultRowHeight="12.75"/>
  <cols>
    <col min="1" max="11" width="9.8515625" style="15" customWidth="1"/>
    <col min="12" max="12" width="3.28125" style="15" customWidth="1"/>
    <col min="13" max="16384" width="9.140625" style="15" customWidth="1"/>
  </cols>
  <sheetData>
    <row r="1" spans="1:12" ht="18.75">
      <c r="A1" s="542"/>
      <c r="B1" s="543"/>
      <c r="C1" s="543"/>
      <c r="D1" s="543"/>
      <c r="E1" s="543"/>
      <c r="F1" s="543"/>
      <c r="G1" s="543"/>
      <c r="H1" s="543"/>
      <c r="I1" s="543"/>
      <c r="J1" s="543"/>
      <c r="K1" s="544" t="s">
        <v>100</v>
      </c>
      <c r="L1" s="545"/>
    </row>
    <row r="2" spans="1:12" ht="12.75">
      <c r="A2" s="546"/>
      <c r="B2" s="547"/>
      <c r="C2" s="547"/>
      <c r="D2" s="547"/>
      <c r="E2" s="547"/>
      <c r="F2" s="547"/>
      <c r="G2" s="547"/>
      <c r="H2" s="547"/>
      <c r="I2" s="547"/>
      <c r="J2" s="547"/>
      <c r="K2" s="547"/>
      <c r="L2" s="548"/>
    </row>
    <row r="3" spans="1:12" ht="12.75">
      <c r="A3" s="546"/>
      <c r="B3" s="547"/>
      <c r="C3" s="547"/>
      <c r="D3" s="547"/>
      <c r="E3" s="547"/>
      <c r="F3" s="549" t="s">
        <v>8</v>
      </c>
      <c r="G3" s="559"/>
      <c r="H3" s="540"/>
      <c r="I3" s="547"/>
      <c r="J3" s="549" t="s">
        <v>101</v>
      </c>
      <c r="K3" s="562"/>
      <c r="L3" s="548"/>
    </row>
    <row r="4" spans="1:12" ht="12.75">
      <c r="A4" s="546"/>
      <c r="B4" s="547"/>
      <c r="C4" s="547"/>
      <c r="D4" s="547"/>
      <c r="E4" s="547"/>
      <c r="F4" s="549" t="s">
        <v>102</v>
      </c>
      <c r="G4" s="560"/>
      <c r="H4" s="541"/>
      <c r="I4" s="547"/>
      <c r="J4" s="549" t="s">
        <v>103</v>
      </c>
      <c r="K4" s="561"/>
      <c r="L4" s="548"/>
    </row>
    <row r="5" spans="1:12" ht="12.75">
      <c r="A5" s="546"/>
      <c r="B5" s="547"/>
      <c r="C5" s="547"/>
      <c r="D5" s="547"/>
      <c r="E5" s="547"/>
      <c r="F5" s="549" t="s">
        <v>104</v>
      </c>
      <c r="G5" s="561"/>
      <c r="H5" s="541"/>
      <c r="I5" s="547"/>
      <c r="J5" s="549" t="s">
        <v>105</v>
      </c>
      <c r="K5" s="561"/>
      <c r="L5" s="548"/>
    </row>
    <row r="6" spans="1:12" ht="12.75">
      <c r="A6" s="546"/>
      <c r="B6" s="547"/>
      <c r="C6" s="547"/>
      <c r="D6" s="547"/>
      <c r="E6" s="547"/>
      <c r="F6" s="549" t="s">
        <v>106</v>
      </c>
      <c r="G6" s="541" t="s">
        <v>2</v>
      </c>
      <c r="H6" s="541"/>
      <c r="I6" s="547"/>
      <c r="J6" s="549" t="s">
        <v>7</v>
      </c>
      <c r="K6" s="561"/>
      <c r="L6" s="548"/>
    </row>
    <row r="7" spans="1:12" ht="12.75">
      <c r="A7" s="552"/>
      <c r="B7" s="550"/>
      <c r="C7" s="550"/>
      <c r="D7" s="550"/>
      <c r="E7" s="550"/>
      <c r="F7" s="550"/>
      <c r="G7" s="551"/>
      <c r="H7" s="551"/>
      <c r="I7" s="550"/>
      <c r="J7" s="553"/>
      <c r="K7" s="550"/>
      <c r="L7" s="554"/>
    </row>
    <row r="8" spans="1:11" ht="22.5" customHeight="1" thickBot="1">
      <c r="A8" s="555"/>
      <c r="B8" s="556">
        <v>0</v>
      </c>
      <c r="C8" s="556">
        <v>1</v>
      </c>
      <c r="D8" s="556">
        <v>2</v>
      </c>
      <c r="E8" s="556">
        <v>3</v>
      </c>
      <c r="F8" s="556">
        <v>4</v>
      </c>
      <c r="G8" s="556">
        <v>5</v>
      </c>
      <c r="H8" s="556">
        <v>6</v>
      </c>
      <c r="I8" s="556">
        <v>7</v>
      </c>
      <c r="J8" s="556">
        <v>8</v>
      </c>
      <c r="K8" s="556">
        <v>9</v>
      </c>
    </row>
    <row r="9" spans="1:11" ht="13.5" thickTop="1">
      <c r="A9" s="557">
        <v>0</v>
      </c>
      <c r="B9" s="567">
        <v>142.1</v>
      </c>
      <c r="C9" s="567">
        <v>139.8</v>
      </c>
      <c r="D9" s="567">
        <v>137.9</v>
      </c>
      <c r="E9" s="567">
        <v>136.2</v>
      </c>
      <c r="F9" s="567">
        <v>134.7</v>
      </c>
      <c r="G9" s="567">
        <v>133.5</v>
      </c>
      <c r="H9" s="567">
        <v>132.4</v>
      </c>
      <c r="I9" s="567">
        <v>131.5</v>
      </c>
      <c r="J9" s="567">
        <v>130.6</v>
      </c>
      <c r="K9" s="567">
        <v>129.9</v>
      </c>
    </row>
    <row r="10" spans="1:11" ht="12.75">
      <c r="A10" s="557">
        <v>10</v>
      </c>
      <c r="B10" s="567">
        <v>129.3</v>
      </c>
      <c r="C10" s="567">
        <v>128.7</v>
      </c>
      <c r="D10" s="567">
        <v>128.1</v>
      </c>
      <c r="E10" s="567">
        <v>127.7</v>
      </c>
      <c r="F10" s="567">
        <v>127.2</v>
      </c>
      <c r="G10" s="567">
        <v>126.8</v>
      </c>
      <c r="H10" s="567">
        <v>126.4</v>
      </c>
      <c r="I10" s="567">
        <v>126.1</v>
      </c>
      <c r="J10" s="567">
        <v>125.7</v>
      </c>
      <c r="K10" s="567">
        <v>125.4</v>
      </c>
    </row>
    <row r="11" spans="1:11" ht="12.75">
      <c r="A11" s="557">
        <v>20</v>
      </c>
      <c r="B11" s="567">
        <v>125.1</v>
      </c>
      <c r="C11" s="567">
        <v>124.8</v>
      </c>
      <c r="D11" s="567">
        <v>124.6</v>
      </c>
      <c r="E11" s="567">
        <v>124.3</v>
      </c>
      <c r="F11" s="567">
        <v>124.1</v>
      </c>
      <c r="G11" s="567">
        <v>123.8</v>
      </c>
      <c r="H11" s="567">
        <v>123.6</v>
      </c>
      <c r="I11" s="567">
        <v>123.4</v>
      </c>
      <c r="J11" s="567">
        <v>123.2</v>
      </c>
      <c r="K11" s="567">
        <v>123</v>
      </c>
    </row>
    <row r="12" spans="1:11" ht="12.75">
      <c r="A12" s="557">
        <v>30</v>
      </c>
      <c r="B12" s="567">
        <v>122.8</v>
      </c>
      <c r="C12" s="567">
        <v>122.6</v>
      </c>
      <c r="D12" s="567">
        <v>122.4</v>
      </c>
      <c r="E12" s="567">
        <v>122.3</v>
      </c>
      <c r="F12" s="567">
        <v>122.1</v>
      </c>
      <c r="G12" s="567">
        <v>121.9</v>
      </c>
      <c r="H12" s="567">
        <v>121.8</v>
      </c>
      <c r="I12" s="567">
        <v>121.6</v>
      </c>
      <c r="J12" s="567">
        <v>121.5</v>
      </c>
      <c r="K12" s="567">
        <v>121.4</v>
      </c>
    </row>
    <row r="13" spans="1:11" ht="12.75">
      <c r="A13" s="557">
        <v>40</v>
      </c>
      <c r="B13" s="567">
        <v>121.2</v>
      </c>
      <c r="C13" s="567">
        <v>121.1</v>
      </c>
      <c r="D13" s="567">
        <v>121</v>
      </c>
      <c r="E13" s="567">
        <v>120.8</v>
      </c>
      <c r="F13" s="567">
        <v>120.7</v>
      </c>
      <c r="G13" s="567">
        <v>120.6</v>
      </c>
      <c r="H13" s="567">
        <v>120.5</v>
      </c>
      <c r="I13" s="567">
        <v>120.4</v>
      </c>
      <c r="J13" s="567">
        <v>120.3</v>
      </c>
      <c r="K13" s="567">
        <v>120.2</v>
      </c>
    </row>
    <row r="14" spans="1:11" ht="12.75">
      <c r="A14" s="557">
        <v>50</v>
      </c>
      <c r="B14" s="567">
        <v>120.1</v>
      </c>
      <c r="C14" s="567">
        <v>120</v>
      </c>
      <c r="D14" s="567">
        <v>119.9</v>
      </c>
      <c r="E14" s="567">
        <v>119.8</v>
      </c>
      <c r="F14" s="567">
        <v>119.7</v>
      </c>
      <c r="G14" s="567">
        <v>119.6</v>
      </c>
      <c r="H14" s="567">
        <v>119.5</v>
      </c>
      <c r="I14" s="567">
        <v>119.4</v>
      </c>
      <c r="J14" s="567">
        <v>119.4</v>
      </c>
      <c r="K14" s="567">
        <v>119.3</v>
      </c>
    </row>
    <row r="15" spans="1:11" ht="12.75">
      <c r="A15" s="557">
        <v>60</v>
      </c>
      <c r="B15" s="567">
        <v>119.2</v>
      </c>
      <c r="C15" s="567">
        <v>119.1</v>
      </c>
      <c r="D15" s="567">
        <v>119.1</v>
      </c>
      <c r="E15" s="567">
        <v>119</v>
      </c>
      <c r="F15" s="567">
        <v>118.9</v>
      </c>
      <c r="G15" s="567">
        <v>118.8</v>
      </c>
      <c r="H15" s="567">
        <v>118.8</v>
      </c>
      <c r="I15" s="567">
        <v>118.7</v>
      </c>
      <c r="J15" s="567">
        <v>118.6</v>
      </c>
      <c r="K15" s="567">
        <v>118.6</v>
      </c>
    </row>
    <row r="16" spans="1:11" ht="12.75">
      <c r="A16" s="557">
        <v>70</v>
      </c>
      <c r="B16" s="567">
        <v>118.5</v>
      </c>
      <c r="C16" s="567">
        <v>118.5</v>
      </c>
      <c r="D16" s="567">
        <v>118.4</v>
      </c>
      <c r="E16" s="567">
        <v>118.3</v>
      </c>
      <c r="F16" s="567">
        <v>118.3</v>
      </c>
      <c r="G16" s="567">
        <v>118.2</v>
      </c>
      <c r="H16" s="567">
        <v>118.1</v>
      </c>
      <c r="I16" s="567">
        <v>118.1</v>
      </c>
      <c r="J16" s="567">
        <v>118</v>
      </c>
      <c r="K16" s="567">
        <v>118</v>
      </c>
    </row>
    <row r="17" spans="1:11" ht="12.75">
      <c r="A17" s="557">
        <v>80</v>
      </c>
      <c r="B17" s="567">
        <v>117.9</v>
      </c>
      <c r="C17" s="567">
        <v>117.8</v>
      </c>
      <c r="D17" s="567">
        <v>117.8</v>
      </c>
      <c r="E17" s="567">
        <v>117.7</v>
      </c>
      <c r="F17" s="567">
        <v>117.7</v>
      </c>
      <c r="G17" s="567">
        <v>117.6</v>
      </c>
      <c r="H17" s="567">
        <v>117.5</v>
      </c>
      <c r="I17" s="567">
        <v>117.5</v>
      </c>
      <c r="J17" s="567">
        <v>117.4</v>
      </c>
      <c r="K17" s="567">
        <v>117.4</v>
      </c>
    </row>
    <row r="18" spans="1:11" ht="12.75">
      <c r="A18" s="557">
        <v>90</v>
      </c>
      <c r="B18" s="558">
        <v>117.3</v>
      </c>
      <c r="C18" s="558">
        <v>117.3</v>
      </c>
      <c r="D18" s="558">
        <v>117.2</v>
      </c>
      <c r="E18" s="558">
        <v>117.2</v>
      </c>
      <c r="F18" s="558">
        <v>117.1</v>
      </c>
      <c r="G18" s="558">
        <v>117.1</v>
      </c>
      <c r="H18" s="558">
        <v>117</v>
      </c>
      <c r="I18" s="558">
        <v>117</v>
      </c>
      <c r="J18" s="558">
        <v>116.9</v>
      </c>
      <c r="K18" s="558">
        <v>116.8</v>
      </c>
    </row>
    <row r="19" spans="1:11" ht="12.75">
      <c r="A19" s="557">
        <v>100</v>
      </c>
      <c r="B19" s="558">
        <v>116.8</v>
      </c>
      <c r="C19" s="558">
        <v>116.8</v>
      </c>
      <c r="D19" s="558">
        <v>116.7</v>
      </c>
      <c r="E19" s="558">
        <v>116.7</v>
      </c>
      <c r="F19" s="558">
        <v>116.7</v>
      </c>
      <c r="G19" s="558">
        <v>116.6</v>
      </c>
      <c r="H19" s="558">
        <v>116.6</v>
      </c>
      <c r="I19" s="558">
        <v>116.6</v>
      </c>
      <c r="J19" s="558">
        <v>116.6</v>
      </c>
      <c r="K19" s="558">
        <v>116.5</v>
      </c>
    </row>
    <row r="20" spans="1:11" ht="12.75">
      <c r="A20" s="557">
        <v>110</v>
      </c>
      <c r="B20" s="558">
        <v>116.5</v>
      </c>
      <c r="C20" s="558">
        <v>116.5</v>
      </c>
      <c r="D20" s="558">
        <v>116.4</v>
      </c>
      <c r="E20" s="558">
        <v>116.4</v>
      </c>
      <c r="F20" s="558">
        <v>116.4</v>
      </c>
      <c r="G20" s="558">
        <v>116.3</v>
      </c>
      <c r="H20" s="558">
        <v>116.3</v>
      </c>
      <c r="I20" s="558">
        <v>116.3</v>
      </c>
      <c r="J20" s="558">
        <v>116.2</v>
      </c>
      <c r="K20" s="558">
        <v>116.2</v>
      </c>
    </row>
    <row r="21" spans="1:11" ht="12.75">
      <c r="A21" s="557">
        <v>120</v>
      </c>
      <c r="B21" s="558">
        <v>116.2</v>
      </c>
      <c r="C21" s="558">
        <v>116.1</v>
      </c>
      <c r="D21" s="558">
        <v>116.1</v>
      </c>
      <c r="E21" s="558">
        <v>116.1</v>
      </c>
      <c r="F21" s="558">
        <v>116</v>
      </c>
      <c r="G21" s="558">
        <v>115.9</v>
      </c>
      <c r="H21" s="558">
        <v>116</v>
      </c>
      <c r="I21" s="558">
        <v>115.9</v>
      </c>
      <c r="J21" s="558">
        <v>115.9</v>
      </c>
      <c r="K21" s="558">
        <v>115.9</v>
      </c>
    </row>
    <row r="22" spans="1:11" ht="12.75">
      <c r="A22" s="557">
        <v>130</v>
      </c>
      <c r="B22" s="558">
        <v>115.8</v>
      </c>
      <c r="C22" s="558">
        <v>115.8</v>
      </c>
      <c r="D22" s="558">
        <v>115.8</v>
      </c>
      <c r="E22" s="558">
        <v>115.8</v>
      </c>
      <c r="F22" s="558">
        <v>115.7</v>
      </c>
      <c r="G22" s="558">
        <v>115.7</v>
      </c>
      <c r="H22" s="558">
        <v>115.7</v>
      </c>
      <c r="I22" s="558">
        <v>115.6</v>
      </c>
      <c r="J22" s="558">
        <v>115.6</v>
      </c>
      <c r="K22" s="558">
        <v>115.6</v>
      </c>
    </row>
    <row r="23" spans="1:11" ht="12.75">
      <c r="A23" s="557">
        <v>140</v>
      </c>
      <c r="B23" s="558">
        <v>115.5</v>
      </c>
      <c r="C23" s="558">
        <v>115.5</v>
      </c>
      <c r="D23" s="558">
        <v>115.5</v>
      </c>
      <c r="E23" s="558">
        <v>115.4</v>
      </c>
      <c r="F23" s="558">
        <v>115.4</v>
      </c>
      <c r="G23" s="558"/>
      <c r="H23" s="558"/>
      <c r="I23" s="558"/>
      <c r="J23" s="558"/>
      <c r="K23" s="558"/>
    </row>
    <row r="24" spans="1:11" ht="12.75">
      <c r="A24" s="332"/>
      <c r="B24" s="558"/>
      <c r="C24" s="558"/>
      <c r="D24" s="558"/>
      <c r="E24" s="558"/>
      <c r="F24" s="558"/>
      <c r="G24" s="558"/>
      <c r="H24" s="558"/>
      <c r="I24" s="558"/>
      <c r="J24" s="558"/>
      <c r="K24" s="558"/>
    </row>
    <row r="25" spans="1:11" ht="12.75">
      <c r="A25" s="262"/>
      <c r="B25" s="558"/>
      <c r="C25" s="558"/>
      <c r="D25" s="558"/>
      <c r="E25" s="558"/>
      <c r="F25" s="558"/>
      <c r="G25" s="558"/>
      <c r="H25" s="558"/>
      <c r="I25" s="558"/>
      <c r="J25" s="558"/>
      <c r="K25" s="558"/>
    </row>
    <row r="26" spans="1:11" ht="12.75">
      <c r="A26" s="262"/>
      <c r="B26" s="558"/>
      <c r="C26" s="558"/>
      <c r="D26" s="558"/>
      <c r="E26" s="558"/>
      <c r="F26" s="558"/>
      <c r="G26" s="558"/>
      <c r="H26" s="558"/>
      <c r="I26" s="558"/>
      <c r="J26" s="558"/>
      <c r="K26" s="558"/>
    </row>
    <row r="27" spans="1:11" ht="12.75">
      <c r="A27" s="262"/>
      <c r="B27" s="558"/>
      <c r="C27" s="558"/>
      <c r="D27" s="558"/>
      <c r="E27" s="558"/>
      <c r="F27" s="558"/>
      <c r="G27" s="558"/>
      <c r="H27" s="558"/>
      <c r="I27" s="558"/>
      <c r="J27" s="558"/>
      <c r="K27" s="558"/>
    </row>
    <row r="28" spans="1:11" ht="12.75">
      <c r="A28" s="262"/>
      <c r="B28" s="558"/>
      <c r="C28" s="558"/>
      <c r="D28" s="558"/>
      <c r="E28" s="558"/>
      <c r="F28" s="558"/>
      <c r="G28" s="558"/>
      <c r="H28" s="558"/>
      <c r="I28" s="558"/>
      <c r="J28" s="558"/>
      <c r="K28" s="558"/>
    </row>
    <row r="29" spans="1:11" ht="12.75">
      <c r="A29" s="262"/>
      <c r="B29" s="558"/>
      <c r="C29" s="558"/>
      <c r="D29" s="558"/>
      <c r="E29" s="558"/>
      <c r="F29" s="558"/>
      <c r="G29" s="558"/>
      <c r="H29" s="558"/>
      <c r="I29" s="558"/>
      <c r="J29" s="558"/>
      <c r="K29" s="558"/>
    </row>
    <row r="30" spans="1:11" ht="12.75">
      <c r="A30" s="262"/>
      <c r="B30" s="558"/>
      <c r="C30" s="558"/>
      <c r="D30" s="558"/>
      <c r="E30" s="558"/>
      <c r="F30" s="558"/>
      <c r="G30" s="558"/>
      <c r="H30" s="558"/>
      <c r="I30" s="558"/>
      <c r="J30" s="558"/>
      <c r="K30" s="558"/>
    </row>
    <row r="31" spans="1:11" ht="12.75">
      <c r="A31" s="262"/>
      <c r="B31" s="558"/>
      <c r="C31" s="558"/>
      <c r="D31" s="558"/>
      <c r="E31" s="558"/>
      <c r="F31" s="558"/>
      <c r="G31" s="558"/>
      <c r="H31" s="558"/>
      <c r="I31" s="558"/>
      <c r="J31" s="558"/>
      <c r="K31" s="558"/>
    </row>
    <row r="32" spans="1:11" ht="12.75">
      <c r="A32" s="262"/>
      <c r="B32" s="558"/>
      <c r="C32" s="558"/>
      <c r="D32" s="558"/>
      <c r="E32" s="558"/>
      <c r="F32" s="558"/>
      <c r="G32" s="558"/>
      <c r="H32" s="558"/>
      <c r="I32" s="558"/>
      <c r="J32" s="558"/>
      <c r="K32" s="558"/>
    </row>
    <row r="33" spans="1:11" ht="12.75">
      <c r="A33" s="262"/>
      <c r="B33" s="558"/>
      <c r="C33" s="558"/>
      <c r="D33" s="558"/>
      <c r="E33" s="558"/>
      <c r="F33" s="558"/>
      <c r="G33" s="558"/>
      <c r="H33" s="558"/>
      <c r="I33" s="558"/>
      <c r="J33" s="558"/>
      <c r="K33" s="558"/>
    </row>
    <row r="34" spans="1:11" ht="12.75">
      <c r="A34" s="262"/>
      <c r="B34" s="558"/>
      <c r="C34" s="558"/>
      <c r="D34" s="558"/>
      <c r="E34" s="558"/>
      <c r="F34" s="558"/>
      <c r="G34" s="558"/>
      <c r="H34" s="558"/>
      <c r="I34" s="558"/>
      <c r="J34" s="558"/>
      <c r="K34" s="558"/>
    </row>
    <row r="35" spans="1:11" ht="12.75">
      <c r="A35" s="262"/>
      <c r="B35" s="558"/>
      <c r="C35" s="558"/>
      <c r="D35" s="558"/>
      <c r="E35" s="558"/>
      <c r="F35" s="558"/>
      <c r="G35" s="558"/>
      <c r="H35" s="558"/>
      <c r="I35" s="558"/>
      <c r="J35" s="558"/>
      <c r="K35" s="558"/>
    </row>
    <row r="36" spans="1:11" ht="12.75">
      <c r="A36" s="262"/>
      <c r="B36" s="558"/>
      <c r="C36" s="558"/>
      <c r="D36" s="558"/>
      <c r="E36" s="558"/>
      <c r="F36" s="558"/>
      <c r="G36" s="558"/>
      <c r="H36" s="558"/>
      <c r="I36" s="558"/>
      <c r="J36" s="558"/>
      <c r="K36" s="558"/>
    </row>
    <row r="37" spans="1:11" ht="12.75">
      <c r="A37" s="262"/>
      <c r="B37" s="558"/>
      <c r="C37" s="558"/>
      <c r="D37" s="558"/>
      <c r="E37" s="558"/>
      <c r="F37" s="558"/>
      <c r="G37" s="558"/>
      <c r="H37" s="558"/>
      <c r="I37" s="558"/>
      <c r="J37" s="558"/>
      <c r="K37" s="558"/>
    </row>
    <row r="38" spans="1:11" ht="12.75">
      <c r="A38" s="262"/>
      <c r="B38" s="558"/>
      <c r="C38" s="558"/>
      <c r="D38" s="558"/>
      <c r="E38" s="558"/>
      <c r="F38" s="558"/>
      <c r="G38" s="558"/>
      <c r="H38" s="558"/>
      <c r="I38" s="558"/>
      <c r="J38" s="558"/>
      <c r="K38" s="558"/>
    </row>
    <row r="39" spans="1:11" ht="12.75">
      <c r="A39" s="262"/>
      <c r="B39" s="558"/>
      <c r="C39" s="558"/>
      <c r="D39" s="558"/>
      <c r="E39" s="558"/>
      <c r="F39" s="558"/>
      <c r="G39" s="558"/>
      <c r="H39" s="558"/>
      <c r="I39" s="558"/>
      <c r="J39" s="558"/>
      <c r="K39" s="558"/>
    </row>
    <row r="40" spans="1:11" ht="12.75">
      <c r="A40" s="262"/>
      <c r="B40" s="558"/>
      <c r="C40" s="558"/>
      <c r="D40" s="558"/>
      <c r="E40" s="558"/>
      <c r="F40" s="558"/>
      <c r="G40" s="558"/>
      <c r="H40" s="558"/>
      <c r="I40" s="558"/>
      <c r="J40" s="558"/>
      <c r="K40" s="558"/>
    </row>
    <row r="41" spans="1:11" ht="12.75">
      <c r="A41" s="262"/>
      <c r="B41" s="558"/>
      <c r="C41" s="558"/>
      <c r="D41" s="558"/>
      <c r="E41" s="558"/>
      <c r="F41" s="558"/>
      <c r="G41" s="558"/>
      <c r="H41" s="558"/>
      <c r="I41" s="558"/>
      <c r="J41" s="558"/>
      <c r="K41" s="558"/>
    </row>
    <row r="42" spans="1:11" ht="12.75">
      <c r="A42" s="262"/>
      <c r="B42" s="558"/>
      <c r="C42" s="558"/>
      <c r="D42" s="558"/>
      <c r="E42" s="558"/>
      <c r="F42" s="558"/>
      <c r="G42" s="558"/>
      <c r="H42" s="558"/>
      <c r="I42" s="558"/>
      <c r="J42" s="558"/>
      <c r="K42" s="558"/>
    </row>
    <row r="43" spans="1:11" ht="12.75">
      <c r="A43" s="262"/>
      <c r="B43" s="558"/>
      <c r="C43" s="558"/>
      <c r="D43" s="558"/>
      <c r="E43" s="558"/>
      <c r="F43" s="558"/>
      <c r="G43" s="558"/>
      <c r="H43" s="558"/>
      <c r="I43" s="558"/>
      <c r="J43" s="558"/>
      <c r="K43" s="558"/>
    </row>
    <row r="44" spans="1:11" ht="12.75">
      <c r="A44" s="262"/>
      <c r="B44" s="558"/>
      <c r="C44" s="558"/>
      <c r="D44" s="558"/>
      <c r="E44" s="558"/>
      <c r="F44" s="558"/>
      <c r="G44" s="558"/>
      <c r="H44" s="558"/>
      <c r="I44" s="558"/>
      <c r="J44" s="558"/>
      <c r="K44" s="558"/>
    </row>
    <row r="45" spans="1:11" ht="12.75">
      <c r="A45" s="262"/>
      <c r="B45" s="558"/>
      <c r="C45" s="558"/>
      <c r="D45" s="558"/>
      <c r="E45" s="558"/>
      <c r="F45" s="558"/>
      <c r="G45" s="558"/>
      <c r="H45" s="558"/>
      <c r="I45" s="558"/>
      <c r="J45" s="558"/>
      <c r="K45" s="558"/>
    </row>
    <row r="46" spans="1:11" ht="12.75">
      <c r="A46" s="262"/>
      <c r="B46" s="558"/>
      <c r="C46" s="558"/>
      <c r="D46" s="558"/>
      <c r="E46" s="558"/>
      <c r="F46" s="558"/>
      <c r="G46" s="558"/>
      <c r="H46" s="558"/>
      <c r="I46" s="558"/>
      <c r="J46" s="558"/>
      <c r="K46" s="558"/>
    </row>
    <row r="47" spans="1:11" ht="12.75">
      <c r="A47" s="262"/>
      <c r="B47" s="558"/>
      <c r="C47" s="558"/>
      <c r="D47" s="558"/>
      <c r="E47" s="558"/>
      <c r="F47" s="558"/>
      <c r="G47" s="558"/>
      <c r="H47" s="558"/>
      <c r="I47" s="558"/>
      <c r="J47" s="558"/>
      <c r="K47" s="558"/>
    </row>
    <row r="48" spans="1:11" ht="12.75">
      <c r="A48" s="262"/>
      <c r="B48" s="558"/>
      <c r="C48" s="558"/>
      <c r="D48" s="558"/>
      <c r="E48" s="558"/>
      <c r="F48" s="558"/>
      <c r="G48" s="558"/>
      <c r="H48" s="558"/>
      <c r="I48" s="558"/>
      <c r="J48" s="558"/>
      <c r="K48" s="558"/>
    </row>
    <row r="49" spans="1:11" ht="12.75">
      <c r="A49" s="262"/>
      <c r="B49" s="558"/>
      <c r="C49" s="558"/>
      <c r="D49" s="558"/>
      <c r="E49" s="558"/>
      <c r="F49" s="558"/>
      <c r="G49" s="558"/>
      <c r="H49" s="558"/>
      <c r="I49" s="558"/>
      <c r="J49" s="558"/>
      <c r="K49" s="558"/>
    </row>
    <row r="50" spans="1:11" ht="12.75">
      <c r="A50" s="262"/>
      <c r="B50" s="558"/>
      <c r="C50" s="558"/>
      <c r="D50" s="558"/>
      <c r="E50" s="558"/>
      <c r="F50" s="558"/>
      <c r="G50" s="558"/>
      <c r="H50" s="558"/>
      <c r="I50" s="558"/>
      <c r="J50" s="558"/>
      <c r="K50" s="558"/>
    </row>
    <row r="51" spans="1:11" ht="12.75">
      <c r="A51" s="262"/>
      <c r="B51" s="558"/>
      <c r="C51" s="558"/>
      <c r="D51" s="558"/>
      <c r="E51" s="558"/>
      <c r="F51" s="558"/>
      <c r="G51" s="558"/>
      <c r="H51" s="558"/>
      <c r="I51" s="558"/>
      <c r="J51" s="558"/>
      <c r="K51" s="558"/>
    </row>
    <row r="52" spans="1:11" ht="12.75">
      <c r="A52" s="262"/>
      <c r="B52" s="558"/>
      <c r="C52" s="558"/>
      <c r="D52" s="558"/>
      <c r="E52" s="558"/>
      <c r="F52" s="558"/>
      <c r="G52" s="558"/>
      <c r="H52" s="558"/>
      <c r="I52" s="558"/>
      <c r="J52" s="558"/>
      <c r="K52" s="558"/>
    </row>
    <row r="53" spans="1:11" ht="12.75">
      <c r="A53" s="262"/>
      <c r="B53" s="558"/>
      <c r="C53" s="558"/>
      <c r="D53" s="558"/>
      <c r="E53" s="558"/>
      <c r="F53" s="558"/>
      <c r="G53" s="558"/>
      <c r="H53" s="558"/>
      <c r="I53" s="558"/>
      <c r="J53" s="558"/>
      <c r="K53" s="558"/>
    </row>
    <row r="54" spans="1:11" ht="12.75">
      <c r="A54" s="262"/>
      <c r="B54" s="558"/>
      <c r="C54" s="558"/>
      <c r="D54" s="558"/>
      <c r="E54" s="558"/>
      <c r="F54" s="558"/>
      <c r="G54" s="558"/>
      <c r="H54" s="558"/>
      <c r="I54" s="558"/>
      <c r="J54" s="558"/>
      <c r="K54" s="558"/>
    </row>
    <row r="55" spans="1:11" ht="12.75">
      <c r="A55" s="262"/>
      <c r="B55" s="558"/>
      <c r="C55" s="558"/>
      <c r="D55" s="558"/>
      <c r="E55" s="558"/>
      <c r="F55" s="558"/>
      <c r="G55" s="558"/>
      <c r="H55" s="558"/>
      <c r="I55" s="558"/>
      <c r="J55" s="558"/>
      <c r="K55" s="558"/>
    </row>
    <row r="56" spans="1:11" ht="12.75">
      <c r="A56" s="262"/>
      <c r="B56" s="558"/>
      <c r="C56" s="558"/>
      <c r="D56" s="558"/>
      <c r="E56" s="558"/>
      <c r="F56" s="558"/>
      <c r="G56" s="558"/>
      <c r="H56" s="558"/>
      <c r="I56" s="558"/>
      <c r="J56" s="558"/>
      <c r="K56" s="558"/>
    </row>
    <row r="57" spans="1:11" ht="12.75">
      <c r="A57" s="262"/>
      <c r="B57" s="558"/>
      <c r="C57" s="558"/>
      <c r="D57" s="558"/>
      <c r="E57" s="558"/>
      <c r="F57" s="558"/>
      <c r="G57" s="558"/>
      <c r="H57" s="558"/>
      <c r="I57" s="558"/>
      <c r="J57" s="558"/>
      <c r="K57" s="558"/>
    </row>
    <row r="58" spans="1:11" ht="12.75">
      <c r="A58" s="262"/>
      <c r="B58" s="558"/>
      <c r="C58" s="558"/>
      <c r="D58" s="558"/>
      <c r="E58" s="558"/>
      <c r="F58" s="558"/>
      <c r="G58" s="558"/>
      <c r="H58" s="558"/>
      <c r="I58" s="558"/>
      <c r="J58" s="558"/>
      <c r="K58" s="558"/>
    </row>
    <row r="59" spans="1:11" ht="12.75">
      <c r="A59" s="262"/>
      <c r="B59" s="558"/>
      <c r="C59" s="558"/>
      <c r="D59" s="558"/>
      <c r="E59" s="558"/>
      <c r="F59" s="558"/>
      <c r="G59" s="558"/>
      <c r="H59" s="558"/>
      <c r="I59" s="558"/>
      <c r="J59" s="558"/>
      <c r="K59" s="558"/>
    </row>
    <row r="60" spans="1:11" ht="12.75">
      <c r="A60" s="262"/>
      <c r="B60" s="558"/>
      <c r="C60" s="558"/>
      <c r="D60" s="558"/>
      <c r="E60" s="558"/>
      <c r="F60" s="558"/>
      <c r="G60" s="558"/>
      <c r="H60" s="558"/>
      <c r="I60" s="558"/>
      <c r="J60" s="558"/>
      <c r="K60" s="558"/>
    </row>
    <row r="61" spans="1:11" ht="12.75">
      <c r="A61" s="262"/>
      <c r="B61" s="558"/>
      <c r="C61" s="558"/>
      <c r="D61" s="558"/>
      <c r="E61" s="558"/>
      <c r="F61" s="558"/>
      <c r="G61" s="558"/>
      <c r="H61" s="558"/>
      <c r="I61" s="558"/>
      <c r="J61" s="558"/>
      <c r="K61" s="558"/>
    </row>
    <row r="62" spans="1:11" ht="12.75">
      <c r="A62" s="262"/>
      <c r="B62" s="558"/>
      <c r="C62" s="558"/>
      <c r="D62" s="558"/>
      <c r="E62" s="558"/>
      <c r="F62" s="558"/>
      <c r="G62" s="558"/>
      <c r="H62" s="558"/>
      <c r="I62" s="558"/>
      <c r="J62" s="558"/>
      <c r="K62" s="558"/>
    </row>
    <row r="63" spans="1:11" ht="12.75">
      <c r="A63" s="262"/>
      <c r="B63" s="558"/>
      <c r="C63" s="558"/>
      <c r="D63" s="558"/>
      <c r="E63" s="558"/>
      <c r="F63" s="558"/>
      <c r="G63" s="558"/>
      <c r="H63" s="558"/>
      <c r="I63" s="558"/>
      <c r="J63" s="558"/>
      <c r="K63" s="558"/>
    </row>
    <row r="64" spans="1:11" ht="12.75">
      <c r="A64" s="262"/>
      <c r="B64" s="558"/>
      <c r="C64" s="558"/>
      <c r="D64" s="558"/>
      <c r="E64" s="558"/>
      <c r="F64" s="558"/>
      <c r="G64" s="558"/>
      <c r="H64" s="558"/>
      <c r="I64" s="558"/>
      <c r="J64" s="558"/>
      <c r="K64" s="558"/>
    </row>
    <row r="65" spans="1:11" ht="12.75">
      <c r="A65" s="262"/>
      <c r="B65" s="558"/>
      <c r="C65" s="558"/>
      <c r="D65" s="558"/>
      <c r="E65" s="558"/>
      <c r="F65" s="558"/>
      <c r="G65" s="558"/>
      <c r="H65" s="558"/>
      <c r="I65" s="558"/>
      <c r="J65" s="558"/>
      <c r="K65" s="558"/>
    </row>
    <row r="66" spans="1:11" ht="12.75">
      <c r="A66" s="262"/>
      <c r="B66" s="558"/>
      <c r="C66" s="558"/>
      <c r="D66" s="558"/>
      <c r="E66" s="558"/>
      <c r="F66" s="558"/>
      <c r="G66" s="558"/>
      <c r="H66" s="558"/>
      <c r="I66" s="558"/>
      <c r="J66" s="558"/>
      <c r="K66" s="558"/>
    </row>
    <row r="67" spans="1:11" ht="12.75">
      <c r="A67" s="262"/>
      <c r="B67" s="558"/>
      <c r="C67" s="558"/>
      <c r="D67" s="558"/>
      <c r="E67" s="558"/>
      <c r="F67" s="558"/>
      <c r="G67" s="558"/>
      <c r="H67" s="558"/>
      <c r="I67" s="558"/>
      <c r="J67" s="558"/>
      <c r="K67" s="558"/>
    </row>
    <row r="68" spans="1:11" ht="12.75">
      <c r="A68" s="262"/>
      <c r="B68" s="558"/>
      <c r="C68" s="558"/>
      <c r="D68" s="558"/>
      <c r="E68" s="558"/>
      <c r="F68" s="558"/>
      <c r="G68" s="558"/>
      <c r="H68" s="558"/>
      <c r="I68" s="558"/>
      <c r="J68" s="558"/>
      <c r="K68" s="558"/>
    </row>
    <row r="69" spans="1:11" ht="12.75">
      <c r="A69" s="262"/>
      <c r="B69" s="558"/>
      <c r="C69" s="558"/>
      <c r="D69" s="558"/>
      <c r="E69" s="558"/>
      <c r="F69" s="558"/>
      <c r="G69" s="558"/>
      <c r="H69" s="558"/>
      <c r="I69" s="558"/>
      <c r="J69" s="558"/>
      <c r="K69" s="558"/>
    </row>
    <row r="70" spans="1:11" ht="12.75">
      <c r="A70" s="262"/>
      <c r="B70" s="558"/>
      <c r="C70" s="558"/>
      <c r="D70" s="558"/>
      <c r="E70" s="558"/>
      <c r="F70" s="558"/>
      <c r="G70" s="558"/>
      <c r="H70" s="558"/>
      <c r="I70" s="558"/>
      <c r="J70" s="558"/>
      <c r="K70" s="558"/>
    </row>
    <row r="71" spans="1:11" ht="12.75">
      <c r="A71" s="262"/>
      <c r="B71" s="558"/>
      <c r="C71" s="558"/>
      <c r="D71" s="558"/>
      <c r="E71" s="558"/>
      <c r="F71" s="558"/>
      <c r="G71" s="558"/>
      <c r="H71" s="558"/>
      <c r="I71" s="558"/>
      <c r="J71" s="558"/>
      <c r="K71" s="558"/>
    </row>
    <row r="72" spans="1:11" ht="12.75">
      <c r="A72" s="262"/>
      <c r="B72" s="558"/>
      <c r="C72" s="558"/>
      <c r="D72" s="558"/>
      <c r="E72" s="558"/>
      <c r="F72" s="558"/>
      <c r="G72" s="558"/>
      <c r="H72" s="558"/>
      <c r="I72" s="558"/>
      <c r="J72" s="558"/>
      <c r="K72" s="558"/>
    </row>
    <row r="73" spans="1:11" ht="12.75">
      <c r="A73" s="262"/>
      <c r="B73" s="558"/>
      <c r="C73" s="558"/>
      <c r="D73" s="558"/>
      <c r="E73" s="558"/>
      <c r="F73" s="558"/>
      <c r="G73" s="558"/>
      <c r="H73" s="558"/>
      <c r="I73" s="558"/>
      <c r="J73" s="558"/>
      <c r="K73" s="558"/>
    </row>
    <row r="74" spans="1:11" ht="12.75">
      <c r="A74" s="262"/>
      <c r="B74" s="558"/>
      <c r="C74" s="558"/>
      <c r="D74" s="558"/>
      <c r="E74" s="558"/>
      <c r="F74" s="558"/>
      <c r="G74" s="558"/>
      <c r="H74" s="558"/>
      <c r="I74" s="558"/>
      <c r="J74" s="558"/>
      <c r="K74" s="558"/>
    </row>
    <row r="75" spans="1:11" ht="12.75">
      <c r="A75" s="262"/>
      <c r="B75" s="558"/>
      <c r="C75" s="558"/>
      <c r="D75" s="558"/>
      <c r="E75" s="558"/>
      <c r="F75" s="558"/>
      <c r="G75" s="558"/>
      <c r="H75" s="558"/>
      <c r="I75" s="558"/>
      <c r="J75" s="558"/>
      <c r="K75" s="558"/>
    </row>
    <row r="76" spans="1:11" ht="12.75">
      <c r="A76" s="262"/>
      <c r="B76" s="558"/>
      <c r="C76" s="558"/>
      <c r="D76" s="558"/>
      <c r="E76" s="558"/>
      <c r="F76" s="558"/>
      <c r="G76" s="558"/>
      <c r="H76" s="558"/>
      <c r="I76" s="558"/>
      <c r="J76" s="558"/>
      <c r="K76" s="558"/>
    </row>
    <row r="77" spans="1:11" ht="12.75">
      <c r="A77" s="262"/>
      <c r="B77" s="558"/>
      <c r="C77" s="558"/>
      <c r="D77" s="558"/>
      <c r="E77" s="558"/>
      <c r="F77" s="558"/>
      <c r="G77" s="558"/>
      <c r="H77" s="558"/>
      <c r="I77" s="558"/>
      <c r="J77" s="558"/>
      <c r="K77" s="558"/>
    </row>
    <row r="78" spans="1:11" ht="12.75">
      <c r="A78" s="262"/>
      <c r="B78" s="558"/>
      <c r="C78" s="558"/>
      <c r="D78" s="558"/>
      <c r="E78" s="558"/>
      <c r="F78" s="558"/>
      <c r="G78" s="558"/>
      <c r="H78" s="558"/>
      <c r="I78" s="558"/>
      <c r="J78" s="558"/>
      <c r="K78" s="558"/>
    </row>
    <row r="79" spans="1:11" ht="12.75">
      <c r="A79" s="262"/>
      <c r="B79" s="558"/>
      <c r="C79" s="558"/>
      <c r="D79" s="558"/>
      <c r="E79" s="558"/>
      <c r="F79" s="558"/>
      <c r="G79" s="558"/>
      <c r="H79" s="558"/>
      <c r="I79" s="558"/>
      <c r="J79" s="558"/>
      <c r="K79" s="558"/>
    </row>
    <row r="80" spans="1:11" ht="12.75">
      <c r="A80" s="262"/>
      <c r="B80" s="558"/>
      <c r="C80" s="558"/>
      <c r="D80" s="558"/>
      <c r="E80" s="558"/>
      <c r="F80" s="558"/>
      <c r="G80" s="558"/>
      <c r="H80" s="558"/>
      <c r="I80" s="558"/>
      <c r="J80" s="558"/>
      <c r="K80" s="558"/>
    </row>
    <row r="81" spans="1:11" ht="12.75">
      <c r="A81" s="262"/>
      <c r="B81" s="558"/>
      <c r="C81" s="558"/>
      <c r="D81" s="558"/>
      <c r="E81" s="558"/>
      <c r="F81" s="558"/>
      <c r="G81" s="558"/>
      <c r="H81" s="558"/>
      <c r="I81" s="558"/>
      <c r="J81" s="558"/>
      <c r="K81" s="558"/>
    </row>
    <row r="82" spans="1:11" ht="12.75">
      <c r="A82" s="262"/>
      <c r="B82" s="558"/>
      <c r="C82" s="558"/>
      <c r="D82" s="558"/>
      <c r="E82" s="558"/>
      <c r="F82" s="558"/>
      <c r="G82" s="558"/>
      <c r="H82" s="558"/>
      <c r="I82" s="558"/>
      <c r="J82" s="558"/>
      <c r="K82" s="558"/>
    </row>
    <row r="83" spans="1:11" ht="12.75">
      <c r="A83" s="262"/>
      <c r="B83" s="558"/>
      <c r="C83" s="558"/>
      <c r="D83" s="558"/>
      <c r="E83" s="558"/>
      <c r="F83" s="558"/>
      <c r="G83" s="558"/>
      <c r="H83" s="558"/>
      <c r="I83" s="558"/>
      <c r="J83" s="558"/>
      <c r="K83" s="558"/>
    </row>
    <row r="84" spans="1:11" ht="12.75">
      <c r="A84" s="262"/>
      <c r="B84" s="558"/>
      <c r="C84" s="558"/>
      <c r="D84" s="558"/>
      <c r="E84" s="558"/>
      <c r="F84" s="558"/>
      <c r="G84" s="558"/>
      <c r="H84" s="558"/>
      <c r="I84" s="558"/>
      <c r="J84" s="558"/>
      <c r="K84" s="558"/>
    </row>
    <row r="85" spans="1:11" ht="12.75">
      <c r="A85" s="262"/>
      <c r="B85" s="558"/>
      <c r="C85" s="558"/>
      <c r="D85" s="558"/>
      <c r="E85" s="558"/>
      <c r="F85" s="558"/>
      <c r="G85" s="558"/>
      <c r="H85" s="558"/>
      <c r="I85" s="558"/>
      <c r="J85" s="558"/>
      <c r="K85" s="558"/>
    </row>
    <row r="86" spans="1:11" ht="12.75">
      <c r="A86" s="262"/>
      <c r="B86" s="558"/>
      <c r="C86" s="558"/>
      <c r="D86" s="558"/>
      <c r="E86" s="558"/>
      <c r="F86" s="558"/>
      <c r="G86" s="558"/>
      <c r="H86" s="558"/>
      <c r="I86" s="558"/>
      <c r="J86" s="558"/>
      <c r="K86" s="558"/>
    </row>
    <row r="87" spans="1:11" ht="12.75">
      <c r="A87" s="262"/>
      <c r="B87" s="558"/>
      <c r="C87" s="558"/>
      <c r="D87" s="558"/>
      <c r="E87" s="558"/>
      <c r="F87" s="558"/>
      <c r="G87" s="558"/>
      <c r="H87" s="558"/>
      <c r="I87" s="558"/>
      <c r="J87" s="558"/>
      <c r="K87" s="558"/>
    </row>
    <row r="88" spans="1:11" ht="12.75">
      <c r="A88" s="262"/>
      <c r="B88" s="558"/>
      <c r="C88" s="558"/>
      <c r="D88" s="558"/>
      <c r="E88" s="558"/>
      <c r="F88" s="558"/>
      <c r="G88" s="558"/>
      <c r="H88" s="558"/>
      <c r="I88" s="558"/>
      <c r="J88" s="558"/>
      <c r="K88" s="558"/>
    </row>
    <row r="89" spans="1:11" ht="12.75">
      <c r="A89" s="262"/>
      <c r="B89" s="558"/>
      <c r="C89" s="558"/>
      <c r="D89" s="558"/>
      <c r="E89" s="558"/>
      <c r="F89" s="558"/>
      <c r="G89" s="558"/>
      <c r="H89" s="558"/>
      <c r="I89" s="558"/>
      <c r="J89" s="558"/>
      <c r="K89" s="558"/>
    </row>
    <row r="90" spans="1:11" ht="12.75">
      <c r="A90" s="262"/>
      <c r="B90" s="558"/>
      <c r="C90" s="558"/>
      <c r="D90" s="558"/>
      <c r="E90" s="558"/>
      <c r="F90" s="558"/>
      <c r="G90" s="558"/>
      <c r="H90" s="558"/>
      <c r="I90" s="558"/>
      <c r="J90" s="558"/>
      <c r="K90" s="558"/>
    </row>
    <row r="91" spans="1:11" ht="12.75">
      <c r="A91" s="262"/>
      <c r="B91" s="558"/>
      <c r="C91" s="558"/>
      <c r="D91" s="558"/>
      <c r="E91" s="558"/>
      <c r="F91" s="558"/>
      <c r="G91" s="558"/>
      <c r="H91" s="558"/>
      <c r="I91" s="558"/>
      <c r="J91" s="558"/>
      <c r="K91" s="558"/>
    </row>
    <row r="92" spans="1:11" ht="12.75">
      <c r="A92" s="262"/>
      <c r="B92" s="558"/>
      <c r="C92" s="558"/>
      <c r="D92" s="558"/>
      <c r="E92" s="558"/>
      <c r="F92" s="558"/>
      <c r="G92" s="558"/>
      <c r="H92" s="558"/>
      <c r="I92" s="558"/>
      <c r="J92" s="558"/>
      <c r="K92" s="558"/>
    </row>
    <row r="93" spans="1:11" ht="12.75">
      <c r="A93" s="262"/>
      <c r="B93" s="558"/>
      <c r="C93" s="558"/>
      <c r="D93" s="558"/>
      <c r="E93" s="558"/>
      <c r="F93" s="558"/>
      <c r="G93" s="558"/>
      <c r="H93" s="558"/>
      <c r="I93" s="558"/>
      <c r="J93" s="558"/>
      <c r="K93" s="558"/>
    </row>
    <row r="94" spans="1:11" ht="12.75">
      <c r="A94" s="262"/>
      <c r="B94" s="558"/>
      <c r="C94" s="558"/>
      <c r="D94" s="558"/>
      <c r="E94" s="558"/>
      <c r="F94" s="558"/>
      <c r="G94" s="558"/>
      <c r="H94" s="558"/>
      <c r="I94" s="558"/>
      <c r="J94" s="558"/>
      <c r="K94" s="558"/>
    </row>
    <row r="95" spans="1:11" ht="12.75">
      <c r="A95" s="262"/>
      <c r="B95" s="558"/>
      <c r="C95" s="558"/>
      <c r="D95" s="558"/>
      <c r="E95" s="558"/>
      <c r="F95" s="558"/>
      <c r="G95" s="558"/>
      <c r="H95" s="558"/>
      <c r="I95" s="558"/>
      <c r="J95" s="558"/>
      <c r="K95" s="558"/>
    </row>
    <row r="96" spans="1:11" ht="12.75">
      <c r="A96" s="262"/>
      <c r="B96" s="558"/>
      <c r="C96" s="558"/>
      <c r="D96" s="558"/>
      <c r="E96" s="558"/>
      <c r="F96" s="558"/>
      <c r="G96" s="558"/>
      <c r="H96" s="558"/>
      <c r="I96" s="558"/>
      <c r="J96" s="558"/>
      <c r="K96" s="558"/>
    </row>
    <row r="97" spans="1:11" ht="12.75">
      <c r="A97" s="262"/>
      <c r="B97" s="558"/>
      <c r="C97" s="558"/>
      <c r="D97" s="558"/>
      <c r="E97" s="558"/>
      <c r="F97" s="558"/>
      <c r="G97" s="558"/>
      <c r="H97" s="558"/>
      <c r="I97" s="558"/>
      <c r="J97" s="558"/>
      <c r="K97" s="558"/>
    </row>
    <row r="98" spans="1:11" ht="12.75">
      <c r="A98" s="262"/>
      <c r="B98" s="558"/>
      <c r="C98" s="558"/>
      <c r="D98" s="558"/>
      <c r="E98" s="558"/>
      <c r="F98" s="558"/>
      <c r="G98" s="558"/>
      <c r="H98" s="558"/>
      <c r="I98" s="558"/>
      <c r="J98" s="558"/>
      <c r="K98" s="558"/>
    </row>
    <row r="99" spans="1:11" ht="12.75">
      <c r="A99" s="262"/>
      <c r="B99" s="558"/>
      <c r="C99" s="558"/>
      <c r="D99" s="558"/>
      <c r="E99" s="558"/>
      <c r="F99" s="558"/>
      <c r="G99" s="558"/>
      <c r="H99" s="558"/>
      <c r="I99" s="558"/>
      <c r="J99" s="558"/>
      <c r="K99" s="558"/>
    </row>
    <row r="100" spans="1:11" ht="12.75">
      <c r="A100" s="262"/>
      <c r="B100" s="558"/>
      <c r="C100" s="558"/>
      <c r="D100" s="558"/>
      <c r="E100" s="558"/>
      <c r="F100" s="558"/>
      <c r="G100" s="558"/>
      <c r="H100" s="558"/>
      <c r="I100" s="558"/>
      <c r="J100" s="558"/>
      <c r="K100" s="558"/>
    </row>
    <row r="101" spans="1:11" ht="12.75">
      <c r="A101" s="262"/>
      <c r="B101" s="558"/>
      <c r="C101" s="558"/>
      <c r="D101" s="558"/>
      <c r="E101" s="558"/>
      <c r="F101" s="558"/>
      <c r="G101" s="558"/>
      <c r="H101" s="558"/>
      <c r="I101" s="558"/>
      <c r="J101" s="558"/>
      <c r="K101" s="558"/>
    </row>
    <row r="102" spans="1:11" ht="12.75">
      <c r="A102" s="262"/>
      <c r="B102" s="558"/>
      <c r="C102" s="558"/>
      <c r="D102" s="558"/>
      <c r="E102" s="558"/>
      <c r="F102" s="558"/>
      <c r="G102" s="558"/>
      <c r="H102" s="558"/>
      <c r="I102" s="558"/>
      <c r="J102" s="558"/>
      <c r="K102" s="558"/>
    </row>
    <row r="103" spans="1:11" ht="12.75">
      <c r="A103" s="262"/>
      <c r="B103" s="558"/>
      <c r="C103" s="558"/>
      <c r="D103" s="558"/>
      <c r="E103" s="558"/>
      <c r="F103" s="558"/>
      <c r="G103" s="558"/>
      <c r="H103" s="558"/>
      <c r="I103" s="558"/>
      <c r="J103" s="558"/>
      <c r="K103" s="558"/>
    </row>
    <row r="104" spans="1:11" ht="12.75">
      <c r="A104" s="262"/>
      <c r="B104" s="558"/>
      <c r="C104" s="558"/>
      <c r="D104" s="558"/>
      <c r="E104" s="558"/>
      <c r="F104" s="558"/>
      <c r="G104" s="558"/>
      <c r="H104" s="558"/>
      <c r="I104" s="558"/>
      <c r="J104" s="558"/>
      <c r="K104" s="558"/>
    </row>
    <row r="105" spans="1:11" ht="12.75">
      <c r="A105" s="262"/>
      <c r="B105" s="558"/>
      <c r="C105" s="558"/>
      <c r="D105" s="558"/>
      <c r="E105" s="558"/>
      <c r="F105" s="558"/>
      <c r="G105" s="558"/>
      <c r="H105" s="558"/>
      <c r="I105" s="558"/>
      <c r="J105" s="558"/>
      <c r="K105" s="558"/>
    </row>
    <row r="106" spans="1:11" ht="12.75">
      <c r="A106" s="262"/>
      <c r="B106" s="558"/>
      <c r="C106" s="558"/>
      <c r="D106" s="558"/>
      <c r="E106" s="558"/>
      <c r="F106" s="558"/>
      <c r="G106" s="558"/>
      <c r="H106" s="558"/>
      <c r="I106" s="558"/>
      <c r="J106" s="558"/>
      <c r="K106" s="558"/>
    </row>
    <row r="107" spans="1:11" ht="12.75">
      <c r="A107" s="262"/>
      <c r="B107" s="558"/>
      <c r="C107" s="558"/>
      <c r="D107" s="558"/>
      <c r="E107" s="558"/>
      <c r="F107" s="558"/>
      <c r="G107" s="558"/>
      <c r="H107" s="558"/>
      <c r="I107" s="558"/>
      <c r="J107" s="558"/>
      <c r="K107" s="558"/>
    </row>
    <row r="108" spans="1:11" ht="12.75">
      <c r="A108" s="262"/>
      <c r="B108" s="558"/>
      <c r="C108" s="558"/>
      <c r="D108" s="558"/>
      <c r="E108" s="558"/>
      <c r="F108" s="558"/>
      <c r="G108" s="558"/>
      <c r="H108" s="558"/>
      <c r="I108" s="558"/>
      <c r="J108" s="558"/>
      <c r="K108" s="558"/>
    </row>
    <row r="109" ht="12.75">
      <c r="A109" s="262"/>
    </row>
    <row r="110" ht="12.75">
      <c r="A110" s="262"/>
    </row>
    <row r="111" ht="12.75">
      <c r="A111" s="262"/>
    </row>
    <row r="112" ht="12.75">
      <c r="A112" s="262"/>
    </row>
    <row r="113" ht="12.75">
      <c r="A113" s="262"/>
    </row>
    <row r="114" ht="12.75">
      <c r="A114" s="262"/>
    </row>
    <row r="115" ht="12.75">
      <c r="A115" s="262"/>
    </row>
    <row r="116" ht="12.75">
      <c r="A116" s="262"/>
    </row>
    <row r="117" ht="12.75">
      <c r="A117" s="262"/>
    </row>
    <row r="118" ht="12.75">
      <c r="A118" s="262"/>
    </row>
    <row r="119" ht="12.75">
      <c r="A119" s="262"/>
    </row>
    <row r="120" ht="12.75">
      <c r="A120" s="262"/>
    </row>
    <row r="121" ht="12.75">
      <c r="A121" s="262"/>
    </row>
    <row r="122" ht="12.75">
      <c r="A122" s="262"/>
    </row>
    <row r="123" ht="12.75">
      <c r="A123" s="262"/>
    </row>
    <row r="124" ht="12.75">
      <c r="A124" s="262"/>
    </row>
    <row r="125" ht="12.75">
      <c r="A125" s="262"/>
    </row>
    <row r="126" ht="12.75">
      <c r="A126" s="262"/>
    </row>
    <row r="127" ht="12.75">
      <c r="A127" s="262"/>
    </row>
    <row r="128" ht="12.75">
      <c r="A128" s="262"/>
    </row>
    <row r="129" ht="12.75">
      <c r="A129" s="262"/>
    </row>
    <row r="130" ht="12.75">
      <c r="A130" s="262"/>
    </row>
    <row r="131" ht="12.75">
      <c r="A131" s="262"/>
    </row>
    <row r="132" ht="12.75">
      <c r="A132" s="262"/>
    </row>
    <row r="133" ht="12.75">
      <c r="A133" s="262"/>
    </row>
    <row r="134" ht="12.75">
      <c r="A134" s="262"/>
    </row>
    <row r="135" ht="12.75">
      <c r="A135" s="262"/>
    </row>
    <row r="136" ht="12.75">
      <c r="A136" s="262"/>
    </row>
    <row r="137" ht="12.75">
      <c r="A137" s="262"/>
    </row>
    <row r="138" ht="12.75">
      <c r="A138" s="262"/>
    </row>
    <row r="139" ht="12.75">
      <c r="A139" s="262"/>
    </row>
    <row r="140" ht="12.75">
      <c r="A140" s="262"/>
    </row>
    <row r="141" ht="12.75">
      <c r="A141" s="262"/>
    </row>
    <row r="142" ht="12.75">
      <c r="A142" s="262"/>
    </row>
    <row r="143" ht="12.75">
      <c r="A143" s="262"/>
    </row>
    <row r="144" ht="12.75">
      <c r="A144" s="262"/>
    </row>
    <row r="145" ht="12.75">
      <c r="A145" s="262"/>
    </row>
    <row r="146" ht="12.75">
      <c r="A146" s="262"/>
    </row>
    <row r="147" ht="12.75">
      <c r="A147" s="262"/>
    </row>
    <row r="148" ht="12.75">
      <c r="A148" s="262"/>
    </row>
    <row r="149" ht="12.75">
      <c r="A149" s="262"/>
    </row>
    <row r="150" ht="12.75">
      <c r="A150" s="262"/>
    </row>
    <row r="151" ht="12.75">
      <c r="A151" s="262"/>
    </row>
    <row r="152" ht="12.75">
      <c r="A152" s="262"/>
    </row>
    <row r="153" ht="12.75">
      <c r="A153" s="262"/>
    </row>
    <row r="154" ht="12.75">
      <c r="A154" s="262"/>
    </row>
    <row r="155" ht="12.75">
      <c r="A155" s="262"/>
    </row>
    <row r="156" ht="12.75">
      <c r="A156" s="262"/>
    </row>
    <row r="157" ht="12.75">
      <c r="A157" s="262"/>
    </row>
    <row r="158" ht="12.75">
      <c r="A158" s="262"/>
    </row>
    <row r="159" ht="12.75">
      <c r="A159" s="262"/>
    </row>
    <row r="160" ht="12.75">
      <c r="A160" s="262"/>
    </row>
    <row r="161" ht="12.75">
      <c r="A161" s="262"/>
    </row>
    <row r="162" ht="12.75">
      <c r="A162" s="262"/>
    </row>
    <row r="163" ht="12.75">
      <c r="A163" s="262"/>
    </row>
    <row r="164" ht="12.75">
      <c r="A164" s="262"/>
    </row>
    <row r="165" ht="12.75">
      <c r="A165" s="262"/>
    </row>
    <row r="166" ht="12.75">
      <c r="A166" s="262"/>
    </row>
    <row r="167" ht="12.75">
      <c r="A167" s="262"/>
    </row>
    <row r="168" ht="12.75">
      <c r="A168" s="262"/>
    </row>
    <row r="169" ht="12.75">
      <c r="A169" s="262"/>
    </row>
    <row r="170" ht="12.75">
      <c r="A170" s="262"/>
    </row>
    <row r="171" ht="12.75">
      <c r="A171" s="262"/>
    </row>
    <row r="172" ht="12.75">
      <c r="A172" s="262"/>
    </row>
    <row r="173" ht="12.75">
      <c r="A173" s="262"/>
    </row>
    <row r="174" ht="12.75">
      <c r="A174" s="262"/>
    </row>
    <row r="175" ht="12.75">
      <c r="A175" s="262"/>
    </row>
    <row r="176" ht="12.75">
      <c r="A176" s="262"/>
    </row>
    <row r="177" ht="12.75">
      <c r="A177" s="262"/>
    </row>
    <row r="178" ht="12.75">
      <c r="A178" s="262"/>
    </row>
    <row r="179" ht="12.75">
      <c r="A179" s="262"/>
    </row>
    <row r="180" ht="12.75">
      <c r="A180" s="262"/>
    </row>
    <row r="181" ht="12.75">
      <c r="A181" s="262"/>
    </row>
    <row r="182" ht="12.75">
      <c r="A182" s="262"/>
    </row>
    <row r="183" ht="12.75">
      <c r="A183" s="262"/>
    </row>
    <row r="184" ht="12.75">
      <c r="A184" s="262"/>
    </row>
    <row r="185" ht="12.75">
      <c r="A185" s="262"/>
    </row>
    <row r="186" ht="12.75">
      <c r="A186" s="262"/>
    </row>
    <row r="187" ht="12.75">
      <c r="A187" s="262"/>
    </row>
    <row r="188" ht="12.75">
      <c r="A188" s="262"/>
    </row>
    <row r="189" ht="12.75">
      <c r="A189" s="262"/>
    </row>
    <row r="190" ht="12.75">
      <c r="A190" s="262"/>
    </row>
    <row r="191" ht="12.75">
      <c r="A191" s="262"/>
    </row>
    <row r="192" ht="12.75">
      <c r="A192" s="262"/>
    </row>
    <row r="193" ht="12.75">
      <c r="A193" s="262"/>
    </row>
    <row r="194" ht="12.75">
      <c r="A194" s="262"/>
    </row>
    <row r="195" ht="12.75">
      <c r="A195" s="262"/>
    </row>
    <row r="196" ht="12.75">
      <c r="A196" s="262"/>
    </row>
    <row r="197" ht="12.75">
      <c r="A197" s="262"/>
    </row>
    <row r="198" ht="12.75">
      <c r="A198" s="262"/>
    </row>
    <row r="199" ht="12.75">
      <c r="A199" s="262"/>
    </row>
    <row r="200" ht="12.75">
      <c r="A200" s="262"/>
    </row>
    <row r="201" ht="12.75">
      <c r="A201" s="262"/>
    </row>
    <row r="202" ht="12.75">
      <c r="A202" s="262"/>
    </row>
    <row r="203" ht="12.75">
      <c r="A203" s="262"/>
    </row>
    <row r="204" ht="12.75">
      <c r="A204" s="262"/>
    </row>
    <row r="205" ht="12.75">
      <c r="A205" s="262"/>
    </row>
    <row r="206" ht="12.75">
      <c r="A206" s="262"/>
    </row>
    <row r="207" ht="12.75">
      <c r="A207" s="262"/>
    </row>
    <row r="208" ht="12.75">
      <c r="A208" s="262"/>
    </row>
    <row r="209" ht="12.75">
      <c r="A209" s="262"/>
    </row>
    <row r="210" ht="12.75">
      <c r="A210" s="262"/>
    </row>
    <row r="211" ht="12.75">
      <c r="A211" s="262"/>
    </row>
    <row r="212" ht="12.75">
      <c r="A212" s="262"/>
    </row>
    <row r="213" ht="12.75">
      <c r="A213" s="262"/>
    </row>
    <row r="214" ht="12.75">
      <c r="A214" s="262"/>
    </row>
    <row r="215" ht="12.75">
      <c r="A215" s="262"/>
    </row>
    <row r="216" ht="12.75">
      <c r="A216" s="262"/>
    </row>
    <row r="217" ht="12.75">
      <c r="A217" s="262"/>
    </row>
    <row r="218" ht="12.75">
      <c r="A218" s="262"/>
    </row>
    <row r="219" ht="12.75">
      <c r="A219" s="262"/>
    </row>
    <row r="220" ht="12.75">
      <c r="A220" s="262"/>
    </row>
    <row r="221" ht="12.75">
      <c r="A221" s="262"/>
    </row>
    <row r="222" ht="12.75">
      <c r="A222" s="262"/>
    </row>
    <row r="223" ht="12.75">
      <c r="A223" s="262"/>
    </row>
    <row r="224" ht="12.75">
      <c r="A224" s="262"/>
    </row>
    <row r="225" ht="12.75">
      <c r="A225" s="262"/>
    </row>
    <row r="226" ht="12.75">
      <c r="A226" s="262"/>
    </row>
    <row r="227" ht="12.75">
      <c r="A227" s="262"/>
    </row>
    <row r="228" ht="12.75">
      <c r="A228" s="262"/>
    </row>
    <row r="229" ht="12.75">
      <c r="A229" s="262"/>
    </row>
    <row r="230" ht="12.75">
      <c r="A230" s="262"/>
    </row>
    <row r="231" ht="12.75">
      <c r="A231" s="262"/>
    </row>
    <row r="232" ht="12.75">
      <c r="A232" s="262"/>
    </row>
    <row r="233" ht="12.75">
      <c r="A233" s="262"/>
    </row>
    <row r="234" ht="12.75">
      <c r="A234" s="262"/>
    </row>
    <row r="235" ht="12.75">
      <c r="A235" s="262"/>
    </row>
    <row r="236" ht="12.75">
      <c r="A236" s="262"/>
    </row>
    <row r="237" ht="12.75">
      <c r="A237" s="262"/>
    </row>
    <row r="238" ht="12.75">
      <c r="A238" s="262"/>
    </row>
    <row r="239" ht="12.75">
      <c r="A239" s="262"/>
    </row>
    <row r="240" ht="12.75">
      <c r="A240" s="262"/>
    </row>
    <row r="241" ht="12.75">
      <c r="A241" s="262"/>
    </row>
    <row r="242" ht="12.75">
      <c r="A242" s="262"/>
    </row>
    <row r="243" ht="12.75">
      <c r="A243" s="262"/>
    </row>
    <row r="244" ht="12.75">
      <c r="A244" s="262"/>
    </row>
    <row r="245" ht="12.75">
      <c r="A245" s="262"/>
    </row>
    <row r="246" ht="12.75">
      <c r="A246" s="262"/>
    </row>
    <row r="247" ht="12.75">
      <c r="A247" s="262"/>
    </row>
    <row r="248" ht="12.75">
      <c r="A248" s="262"/>
    </row>
    <row r="249" ht="12.75">
      <c r="A249" s="262"/>
    </row>
    <row r="250" ht="12.75">
      <c r="A250" s="262"/>
    </row>
    <row r="251" ht="12.75">
      <c r="A251" s="262"/>
    </row>
    <row r="252" ht="12.75">
      <c r="A252" s="262"/>
    </row>
    <row r="253" ht="12.75">
      <c r="A253" s="262"/>
    </row>
    <row r="254" ht="12.75">
      <c r="A254" s="262"/>
    </row>
    <row r="255" ht="12.75">
      <c r="A255" s="262"/>
    </row>
    <row r="256" ht="12.75">
      <c r="A256" s="262"/>
    </row>
    <row r="257" ht="12.75">
      <c r="A257" s="262"/>
    </row>
    <row r="258" ht="12.75">
      <c r="A258" s="262"/>
    </row>
    <row r="259" ht="12.75">
      <c r="A259" s="262"/>
    </row>
    <row r="260" ht="12.75">
      <c r="A260" s="262"/>
    </row>
    <row r="261" ht="12.75">
      <c r="A261" s="262"/>
    </row>
    <row r="262" ht="12.75">
      <c r="A262" s="262"/>
    </row>
    <row r="263" ht="12.75">
      <c r="A263" s="262"/>
    </row>
    <row r="264" ht="12.75">
      <c r="A264" s="262"/>
    </row>
    <row r="265" ht="12.75">
      <c r="A265" s="262"/>
    </row>
    <row r="266" ht="12.75">
      <c r="A266" s="262"/>
    </row>
    <row r="267" ht="12.75">
      <c r="A267" s="262"/>
    </row>
    <row r="268" ht="12.75">
      <c r="A268" s="262"/>
    </row>
    <row r="269" ht="12.75">
      <c r="A269" s="262"/>
    </row>
    <row r="270" ht="12.75">
      <c r="A270" s="262"/>
    </row>
    <row r="271" ht="12.75">
      <c r="A271" s="262"/>
    </row>
    <row r="272" ht="12.75">
      <c r="A272" s="262"/>
    </row>
    <row r="273" ht="12.75">
      <c r="A273" s="262"/>
    </row>
    <row r="274" ht="12.75">
      <c r="A274" s="262"/>
    </row>
    <row r="275" ht="12.75">
      <c r="A275" s="262"/>
    </row>
    <row r="276" ht="12.75">
      <c r="A276" s="262"/>
    </row>
    <row r="277" ht="12.75">
      <c r="A277" s="262"/>
    </row>
    <row r="278" ht="12.75">
      <c r="A278" s="262"/>
    </row>
    <row r="279" ht="12.75">
      <c r="A279" s="262"/>
    </row>
    <row r="280" ht="12.75">
      <c r="A280" s="262"/>
    </row>
    <row r="281" ht="12.75">
      <c r="A281" s="262"/>
    </row>
    <row r="282" ht="12.75">
      <c r="A282" s="262"/>
    </row>
    <row r="283" ht="12.75">
      <c r="A283" s="262"/>
    </row>
    <row r="284" ht="12.75">
      <c r="A284" s="262"/>
    </row>
    <row r="285" ht="12.75">
      <c r="A285" s="262"/>
    </row>
    <row r="286" ht="12.75">
      <c r="A286" s="262"/>
    </row>
    <row r="287" ht="12.75">
      <c r="A287" s="262"/>
    </row>
    <row r="288" ht="12.75">
      <c r="A288" s="262"/>
    </row>
    <row r="289" ht="12.75">
      <c r="A289" s="262"/>
    </row>
    <row r="290" ht="12.75">
      <c r="A290" s="262"/>
    </row>
    <row r="291" ht="12.75">
      <c r="A291" s="262"/>
    </row>
    <row r="292" ht="12.75">
      <c r="A292" s="262"/>
    </row>
    <row r="293" ht="12.75">
      <c r="A293" s="262"/>
    </row>
    <row r="294" ht="12.75">
      <c r="A294" s="262"/>
    </row>
    <row r="295" ht="12.75">
      <c r="A295" s="262"/>
    </row>
    <row r="296" ht="12.75">
      <c r="A296" s="262"/>
    </row>
    <row r="297" ht="12.75">
      <c r="A297" s="262"/>
    </row>
    <row r="298" ht="12.75">
      <c r="A298" s="262"/>
    </row>
    <row r="299" ht="12.75">
      <c r="A299" s="262"/>
    </row>
    <row r="300" ht="12.75">
      <c r="A300" s="262"/>
    </row>
    <row r="301" ht="12.75">
      <c r="A301" s="262"/>
    </row>
    <row r="302" ht="12.75">
      <c r="A302" s="262"/>
    </row>
    <row r="303" ht="12.75">
      <c r="A303" s="262"/>
    </row>
    <row r="304" ht="12.75">
      <c r="A304" s="262"/>
    </row>
    <row r="305" ht="12.75">
      <c r="A305" s="262"/>
    </row>
    <row r="306" ht="12.75">
      <c r="A306" s="262"/>
    </row>
    <row r="307" ht="12.75">
      <c r="A307" s="262"/>
    </row>
    <row r="308" ht="12.75">
      <c r="A308" s="262"/>
    </row>
    <row r="309" ht="12.75">
      <c r="A309" s="262"/>
    </row>
    <row r="310" ht="12.75">
      <c r="A310" s="262"/>
    </row>
    <row r="311" ht="12.75">
      <c r="A311" s="262"/>
    </row>
    <row r="312" ht="12.75">
      <c r="A312" s="262"/>
    </row>
    <row r="313" ht="12.75">
      <c r="A313" s="262"/>
    </row>
    <row r="314" ht="12.75">
      <c r="A314" s="262"/>
    </row>
    <row r="315" ht="12.75">
      <c r="A315" s="262"/>
    </row>
    <row r="316" ht="12.75">
      <c r="A316" s="262"/>
    </row>
    <row r="317" ht="12.75">
      <c r="A317" s="262"/>
    </row>
    <row r="318" ht="12.75">
      <c r="A318" s="262"/>
    </row>
    <row r="319" ht="12.75">
      <c r="A319" s="262"/>
    </row>
    <row r="320" ht="12.75">
      <c r="A320" s="262"/>
    </row>
    <row r="321" ht="12.75">
      <c r="A321" s="262"/>
    </row>
    <row r="322" ht="12.75">
      <c r="A322" s="262"/>
    </row>
    <row r="323" ht="12.75">
      <c r="A323" s="262"/>
    </row>
    <row r="324" ht="12.75">
      <c r="A324" s="262"/>
    </row>
    <row r="325" ht="12.75">
      <c r="A325" s="262"/>
    </row>
    <row r="326" ht="12.75">
      <c r="A326" s="262"/>
    </row>
    <row r="327" ht="12.75">
      <c r="A327" s="262"/>
    </row>
    <row r="328" ht="12.75">
      <c r="A328" s="262"/>
    </row>
    <row r="329" ht="12.75">
      <c r="A329" s="262"/>
    </row>
    <row r="330" ht="12.75">
      <c r="A330" s="262"/>
    </row>
    <row r="331" ht="12.75">
      <c r="A331" s="262"/>
    </row>
    <row r="332" ht="12.75">
      <c r="A332" s="262"/>
    </row>
    <row r="333" ht="12.75">
      <c r="A333" s="262"/>
    </row>
    <row r="334" ht="12.75">
      <c r="A334" s="262"/>
    </row>
    <row r="335" ht="12.75">
      <c r="A335" s="262"/>
    </row>
    <row r="336" ht="12.75">
      <c r="A336" s="262"/>
    </row>
    <row r="337" ht="12.75">
      <c r="A337" s="262"/>
    </row>
    <row r="338" ht="12.75">
      <c r="A338" s="262"/>
    </row>
    <row r="339" ht="12.75">
      <c r="A339" s="262"/>
    </row>
    <row r="340" ht="12.75">
      <c r="A340" s="262"/>
    </row>
    <row r="341" ht="12.75">
      <c r="A341" s="262"/>
    </row>
    <row r="342" ht="12.75">
      <c r="A342" s="262"/>
    </row>
    <row r="343" ht="12.75">
      <c r="A343" s="262"/>
    </row>
    <row r="344" ht="12.75">
      <c r="A344" s="262"/>
    </row>
    <row r="345" ht="12.75">
      <c r="A345" s="262"/>
    </row>
    <row r="346" ht="12.75">
      <c r="A346" s="262"/>
    </row>
    <row r="347" ht="12.75">
      <c r="A347" s="262"/>
    </row>
    <row r="348" ht="12.75">
      <c r="A348" s="262"/>
    </row>
    <row r="349" ht="12.75">
      <c r="A349" s="262"/>
    </row>
    <row r="350" ht="12.75">
      <c r="A350" s="262"/>
    </row>
    <row r="351" ht="12.75">
      <c r="A351" s="262"/>
    </row>
    <row r="352" ht="12.75">
      <c r="A352" s="262"/>
    </row>
    <row r="353" ht="12.75">
      <c r="A353" s="262"/>
    </row>
    <row r="354" ht="12.75">
      <c r="A354" s="262"/>
    </row>
    <row r="355" ht="12.75">
      <c r="A355" s="262"/>
    </row>
    <row r="356" ht="12.75">
      <c r="A356" s="262"/>
    </row>
    <row r="357" ht="12.75">
      <c r="A357" s="262"/>
    </row>
    <row r="358" ht="12.75">
      <c r="A358" s="262"/>
    </row>
    <row r="359" ht="12.75">
      <c r="A359" s="262"/>
    </row>
    <row r="360" ht="12.75">
      <c r="A360" s="262"/>
    </row>
    <row r="361" ht="12.75">
      <c r="A361" s="262"/>
    </row>
    <row r="362" ht="12.75">
      <c r="A362" s="262"/>
    </row>
    <row r="363" ht="12.75">
      <c r="A363" s="262"/>
    </row>
    <row r="364" ht="12.75">
      <c r="A364" s="262"/>
    </row>
    <row r="365" ht="12.75">
      <c r="A365" s="262"/>
    </row>
    <row r="366" ht="12.75">
      <c r="A366" s="262"/>
    </row>
    <row r="367" ht="12.75">
      <c r="A367" s="262"/>
    </row>
    <row r="368" ht="12.75">
      <c r="A368" s="262"/>
    </row>
    <row r="369" ht="12.75">
      <c r="A369" s="262"/>
    </row>
    <row r="370" ht="12.75">
      <c r="A370" s="262"/>
    </row>
    <row r="371" ht="12.75">
      <c r="A371" s="262"/>
    </row>
    <row r="372" ht="12.75">
      <c r="A372" s="262"/>
    </row>
    <row r="373" ht="12.75">
      <c r="A373" s="262"/>
    </row>
    <row r="374" ht="12.75">
      <c r="A374" s="262"/>
    </row>
    <row r="375" ht="12.75">
      <c r="A375" s="262"/>
    </row>
    <row r="376" ht="12.75">
      <c r="A376" s="262"/>
    </row>
    <row r="377" ht="12.75">
      <c r="A377" s="262"/>
    </row>
    <row r="378" ht="12.75">
      <c r="A378" s="262"/>
    </row>
    <row r="379" ht="12.75">
      <c r="A379" s="262"/>
    </row>
    <row r="380" ht="12.75">
      <c r="A380" s="262"/>
    </row>
    <row r="381" ht="12.75">
      <c r="A381" s="262"/>
    </row>
    <row r="382" ht="12.75">
      <c r="A382" s="262"/>
    </row>
    <row r="383" ht="12.75">
      <c r="A383" s="262"/>
    </row>
    <row r="384" ht="12.75">
      <c r="A384" s="262"/>
    </row>
    <row r="385" ht="12.75">
      <c r="A385" s="262"/>
    </row>
    <row r="386" ht="12.75">
      <c r="A386" s="262"/>
    </row>
    <row r="387" ht="12.75">
      <c r="A387" s="262"/>
    </row>
    <row r="388" ht="12.75">
      <c r="A388" s="262"/>
    </row>
    <row r="389" ht="12.75">
      <c r="A389" s="262"/>
    </row>
    <row r="390" ht="12.75">
      <c r="A390" s="262"/>
    </row>
    <row r="391" ht="12.75">
      <c r="A391" s="262"/>
    </row>
    <row r="392" ht="12.75">
      <c r="A392" s="262"/>
    </row>
    <row r="393" ht="12.75">
      <c r="A393" s="262"/>
    </row>
    <row r="394" ht="12.75">
      <c r="A394" s="262"/>
    </row>
    <row r="395" ht="12.75">
      <c r="A395" s="262"/>
    </row>
    <row r="396" ht="12.75">
      <c r="A396" s="262"/>
    </row>
    <row r="397" ht="12.75">
      <c r="A397" s="262"/>
    </row>
    <row r="398" ht="12.75">
      <c r="A398" s="262"/>
    </row>
    <row r="399" ht="12.75">
      <c r="A399" s="262"/>
    </row>
    <row r="400" ht="12.75">
      <c r="A400" s="262"/>
    </row>
    <row r="401" ht="12.75">
      <c r="A401" s="262"/>
    </row>
    <row r="402" ht="12.75">
      <c r="A402" s="262"/>
    </row>
    <row r="403" ht="12.75">
      <c r="A403" s="262"/>
    </row>
    <row r="404" ht="12.75">
      <c r="A404" s="262"/>
    </row>
    <row r="405" ht="12.75">
      <c r="A405" s="262"/>
    </row>
    <row r="406" ht="12.75">
      <c r="A406" s="262"/>
    </row>
    <row r="407" ht="12.75">
      <c r="A407" s="262"/>
    </row>
    <row r="408" ht="12.75">
      <c r="A408" s="262"/>
    </row>
    <row r="409" ht="12.75">
      <c r="A409" s="262"/>
    </row>
    <row r="410" ht="12.75">
      <c r="A410" s="262"/>
    </row>
    <row r="411" ht="12.75">
      <c r="A411" s="262"/>
    </row>
    <row r="412" ht="12.75">
      <c r="A412" s="262"/>
    </row>
    <row r="413" ht="12.75">
      <c r="A413" s="262"/>
    </row>
    <row r="414" ht="12.75">
      <c r="A414" s="262"/>
    </row>
    <row r="415" ht="12.75">
      <c r="A415" s="262"/>
    </row>
    <row r="416" ht="12.75">
      <c r="A416" s="262"/>
    </row>
    <row r="417" ht="12.75">
      <c r="A417" s="262"/>
    </row>
    <row r="418" ht="12.75">
      <c r="A418" s="262"/>
    </row>
    <row r="419" ht="12.75">
      <c r="A419" s="262"/>
    </row>
    <row r="420" ht="12.75">
      <c r="A420" s="262"/>
    </row>
    <row r="421" ht="12.75">
      <c r="A421" s="262"/>
    </row>
    <row r="422" ht="12.75">
      <c r="A422" s="262"/>
    </row>
    <row r="423" ht="12.75">
      <c r="A423" s="262"/>
    </row>
    <row r="424" ht="12.75">
      <c r="A424" s="262"/>
    </row>
    <row r="425" ht="12.75">
      <c r="A425" s="262"/>
    </row>
    <row r="426" ht="12.75">
      <c r="A426" s="262"/>
    </row>
    <row r="427" ht="12.75">
      <c r="A427" s="262"/>
    </row>
    <row r="428" ht="12.75">
      <c r="A428" s="262"/>
    </row>
    <row r="429" ht="12.75">
      <c r="A429" s="262"/>
    </row>
    <row r="430" ht="12.75">
      <c r="A430" s="262"/>
    </row>
    <row r="431" ht="12.75">
      <c r="A431" s="262"/>
    </row>
    <row r="432" ht="12.75">
      <c r="A432" s="262"/>
    </row>
    <row r="433" ht="12.75">
      <c r="A433" s="262"/>
    </row>
    <row r="434" ht="12.75">
      <c r="A434" s="262"/>
    </row>
    <row r="435" ht="12.75">
      <c r="A435" s="262"/>
    </row>
    <row r="436" ht="12.75">
      <c r="A436" s="262"/>
    </row>
    <row r="437" ht="12.75">
      <c r="A437" s="262"/>
    </row>
    <row r="438" ht="12.75">
      <c r="A438" s="262"/>
    </row>
    <row r="439" ht="12.75">
      <c r="A439" s="262"/>
    </row>
    <row r="440" ht="12.75">
      <c r="A440" s="262"/>
    </row>
    <row r="441" ht="12.75">
      <c r="A441" s="262"/>
    </row>
    <row r="442" ht="12.75">
      <c r="A442" s="262"/>
    </row>
    <row r="443" ht="12.75">
      <c r="A443" s="262"/>
    </row>
    <row r="444" ht="12.75">
      <c r="A444" s="262"/>
    </row>
    <row r="445" ht="12.75">
      <c r="A445" s="262"/>
    </row>
    <row r="446" ht="12.75">
      <c r="A446" s="262"/>
    </row>
    <row r="447" ht="12.75">
      <c r="A447" s="262"/>
    </row>
    <row r="448" ht="12.75">
      <c r="A448" s="262"/>
    </row>
    <row r="449" ht="12.75">
      <c r="A449" s="262"/>
    </row>
    <row r="450" ht="12.75">
      <c r="A450" s="262"/>
    </row>
    <row r="451" ht="12.75">
      <c r="A451" s="262"/>
    </row>
    <row r="452" ht="12.75">
      <c r="A452" s="262"/>
    </row>
    <row r="453" ht="12.75">
      <c r="A453" s="262"/>
    </row>
    <row r="454" ht="12.75">
      <c r="A454" s="262"/>
    </row>
    <row r="455" ht="12.75">
      <c r="A455" s="262"/>
    </row>
    <row r="456" ht="12.75">
      <c r="A456" s="262"/>
    </row>
    <row r="457" ht="12.75">
      <c r="A457" s="262"/>
    </row>
    <row r="458" ht="12.75">
      <c r="A458" s="262"/>
    </row>
    <row r="459" ht="12.75">
      <c r="A459" s="262"/>
    </row>
    <row r="460" ht="12.75">
      <c r="A460" s="262"/>
    </row>
    <row r="461" ht="12.75">
      <c r="A461" s="262"/>
    </row>
    <row r="462" ht="12.75">
      <c r="A462" s="262"/>
    </row>
    <row r="463" ht="12.75">
      <c r="A463" s="262"/>
    </row>
    <row r="464" ht="12.75">
      <c r="A464" s="262"/>
    </row>
    <row r="465" ht="12.75">
      <c r="A465" s="262"/>
    </row>
    <row r="466" ht="12.75">
      <c r="A466" s="262"/>
    </row>
    <row r="467" ht="12.75">
      <c r="A467" s="262"/>
    </row>
    <row r="468" ht="12.75">
      <c r="A468" s="262"/>
    </row>
    <row r="469" ht="12.75">
      <c r="A469" s="262"/>
    </row>
    <row r="470" ht="12.75">
      <c r="A470" s="262"/>
    </row>
    <row r="471" ht="12.75">
      <c r="A471" s="262"/>
    </row>
    <row r="472" ht="12.75">
      <c r="A472" s="262"/>
    </row>
    <row r="473" ht="12.75">
      <c r="A473" s="262"/>
    </row>
    <row r="474" ht="12.75">
      <c r="A474" s="262"/>
    </row>
    <row r="475" ht="12.75">
      <c r="A475" s="262"/>
    </row>
    <row r="476" ht="12.75">
      <c r="A476" s="262"/>
    </row>
    <row r="477" ht="12.75">
      <c r="A477" s="262"/>
    </row>
    <row r="478" ht="12.75">
      <c r="A478" s="262"/>
    </row>
    <row r="479" ht="12.75">
      <c r="A479" s="262"/>
    </row>
    <row r="480" ht="12.75">
      <c r="A480" s="262"/>
    </row>
    <row r="481" ht="12.75">
      <c r="A481" s="262"/>
    </row>
    <row r="482" ht="12.75">
      <c r="A482" s="262"/>
    </row>
    <row r="483" ht="12.75">
      <c r="A483" s="262"/>
    </row>
    <row r="484" ht="12.75">
      <c r="A484" s="262"/>
    </row>
    <row r="485" ht="12.75">
      <c r="A485" s="262"/>
    </row>
    <row r="486" ht="12.75">
      <c r="A486" s="262"/>
    </row>
    <row r="487" ht="12.75">
      <c r="A487" s="262"/>
    </row>
    <row r="488" ht="12.75">
      <c r="A488" s="262"/>
    </row>
    <row r="489" ht="12.75">
      <c r="A489" s="262"/>
    </row>
    <row r="490" ht="12.75">
      <c r="A490" s="262"/>
    </row>
    <row r="491" ht="12.75">
      <c r="A491" s="262"/>
    </row>
    <row r="492" ht="12.75">
      <c r="A492" s="262"/>
    </row>
    <row r="493" ht="12.75">
      <c r="A493" s="262"/>
    </row>
    <row r="494" ht="12.75">
      <c r="A494" s="262"/>
    </row>
    <row r="495" ht="12.75">
      <c r="A495" s="262"/>
    </row>
    <row r="496" ht="12.75">
      <c r="A496" s="262"/>
    </row>
    <row r="497" ht="12.75">
      <c r="A497" s="262"/>
    </row>
    <row r="498" ht="12.75">
      <c r="A498" s="262"/>
    </row>
    <row r="499" ht="12.75">
      <c r="A499" s="262"/>
    </row>
    <row r="500" ht="12.75">
      <c r="A500" s="262"/>
    </row>
    <row r="501" ht="12.75">
      <c r="A501" s="262"/>
    </row>
    <row r="502" ht="12.75">
      <c r="A502" s="262"/>
    </row>
    <row r="503" ht="12.75">
      <c r="A503" s="262"/>
    </row>
    <row r="504" ht="12.75">
      <c r="A504" s="262"/>
    </row>
    <row r="505" ht="12.75">
      <c r="A505" s="262"/>
    </row>
    <row r="506" ht="12.75">
      <c r="A506" s="262"/>
    </row>
    <row r="507" ht="12.75">
      <c r="A507" s="262"/>
    </row>
    <row r="508" ht="12.75">
      <c r="A508" s="262"/>
    </row>
    <row r="509" ht="12.75">
      <c r="A509" s="262"/>
    </row>
    <row r="510" ht="12.75">
      <c r="A510" s="262"/>
    </row>
  </sheetData>
  <sheetProtection sheet="1" objects="1" scenarios="1"/>
  <printOptions gridLines="1" horizontalCentered="1"/>
  <pageMargins left="0.45" right="0.45" top="1" bottom="1" header="0.5" footer="0.5"/>
  <pageSetup fitToHeight="1" fitToWidth="1" horizontalDpi="300" verticalDpi="300" orientation="portrait"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Pine Instrument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Pine-Pave V5.01 Workbook</dc:title>
  <dc:subject>Superpave Project Workbook</dc:subject>
  <dc:creator>Pine Instrument Company</dc:creator>
  <cp:keywords>SHRP,Pine,HMA,Mix, SUPERPAVE</cp:keywords>
  <dc:description/>
  <cp:lastModifiedBy>Ed Kaltenbaugh</cp:lastModifiedBy>
  <cp:lastPrinted>2000-04-03T20:37:58Z</cp:lastPrinted>
  <dcterms:created xsi:type="dcterms:W3CDTF">1998-01-30T17:25:03Z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